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2007 ост. зміни 31.12" sheetId="1" r:id="rId1"/>
  </sheets>
  <externalReferences>
    <externalReference r:id="rId4"/>
  </externalReferences>
  <definedNames>
    <definedName name="_xlnm.Print_Titles" localSheetId="0">'2007 ост. зміни 31.12'!$15:$18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11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<sst xmlns="http://schemas.openxmlformats.org/spreadsheetml/2006/main" count="1657" uniqueCount="589">
  <si>
    <t>Життя Єврейської громадськості України</t>
  </si>
  <si>
    <t>Постанова Кабінету Міністрів України від 24.06.06 № 879 
«Про затвердження Стратегії демографічного розвитку в період до 2015 року»Постанова Кабінету Міністрів України від 17.11.04 № 1573 “Про затвердження Програми облаштування осіб з числа закордонних українців, що повертаються в Україну, на період до 2010 року”</t>
  </si>
  <si>
    <t>1р. на 2 тижні</t>
  </si>
  <si>
    <t>2р.  на місяць</t>
  </si>
  <si>
    <t>Хай щастить</t>
  </si>
  <si>
    <t>Ретро</t>
  </si>
  <si>
    <t>Ретроспективний показ вітчизняних художніх фільмів</t>
  </si>
  <si>
    <t>Указ Президента України від 15.03.2002р. № 258/2002 “Про невідкладні додаткові заходи щодо зміцнення моральності у суспільстві та утвердження здорового способу життя”, Закон України від 03.03.05 № 2460-ІУ "Про концепцію державної політики в галузі культури на 2005-2007 роки".</t>
  </si>
  <si>
    <t>Тематичні покази художніх та документальних фільмів</t>
  </si>
  <si>
    <t>До значних дат в історії України</t>
  </si>
  <si>
    <t>худ + док</t>
  </si>
  <si>
    <t>В гостях у Д. Гордона</t>
  </si>
  <si>
    <t>Зустріч - діалог з видатними особистостями</t>
  </si>
  <si>
    <t>1р. на тиждень
з повтор.</t>
  </si>
  <si>
    <t>Цивілізація на ім"я Україна</t>
  </si>
  <si>
    <t>Цикл програм про історію та культуру України</t>
  </si>
  <si>
    <t xml:space="preserve"> Постанова Кабінету Міністрів України від 23.12.04 № 1732 "Про затвердження Державної програми охорони та збереження нематеріальної культурної спадщини на 2004-2008 роки"</t>
  </si>
  <si>
    <t>д/ф "Театр"</t>
  </si>
  <si>
    <t>Науково-просвітницькі передачі</t>
  </si>
  <si>
    <t>Здоров'я</t>
  </si>
  <si>
    <t>Проблеми охорони здоров"я і медичного обслуговування населення</t>
  </si>
  <si>
    <t xml:space="preserve">Розпорядження Кабінету Міністрів України від 01.07.02  № 355  “Про затвердження Комплексних заходів щодо заохочення народжуваності на 2002-2007 роки”Постанова Верховної Ради України від 22.09.05 № 2894-IV “Про Рекомендації парламентських слухань “Забезпечення прав дітей  в Україні. Охорона  материнства та дитинства”, доручення Кабінету Міністрів України від 21.10.05 № 52658/1/1-05Постанова Кабінету Міністрів України  від 19.07.06 № 983 «Про затвердження Державної  програми «Дитяча онкологія» на 2006-2010 роки»Указ Президента України від 22.03.02 № 290 "Про Всеукраїнський день боротьби із захворюванням туберкульоз" (24 березня)Указ Президента України від 30.08.04 № 1022 “Про запобігання дальшому поширенню ВІЛ-інфекції/СНІДу в Україні” (доручення Кабінету Міністрів України  від 09.09.04 № 38326/1/1-04)Постанова Кабінету міністрів України від 04.03.04 № 264 "Про затвердження Концепції стратегії дій Уряду, спрямованих на запобігання поширенню ВІЛ-інфекції/СНІДУ, на період до 2011 року  та Національної програми забезпечення профілактики ВІЛ-інфекції, допомоги та лікування ВІЛ-інфікованих і хворих на СНІД
 на 2004-2008 роки. </t>
  </si>
  <si>
    <t>1р.на тиждень</t>
  </si>
  <si>
    <t>"Далі буде"</t>
  </si>
  <si>
    <t>Сторінки історії України</t>
  </si>
  <si>
    <t>Доручення Кабінету Міністрів України  від 30.06.06 № 22819/1/1-06  та Указ Президента України від 21.06.06 № 555 «Про вшанування пам’яті В’ячеслава Липинського»Указ Президента України від 18.08.06 № 688 «Про відзначення 200-річчя від дня народження Миколи Васильовича Гоголя»  Указ Президента України від 15.06.06 № 521 «Про вшанування пам’яті Сергія Єфремова»Розпорядження Кабінету Міністрів України  від 26.07.06 № 424 «Про підготовку та відзначення 190-річчя від дня народження  М.І. Костомарова»Доручення Кабінету Міністрів України від 21.10.2006 р. №39132/1/1-06 до Указу Президента України від 14.10.2006 р. №879 «Про всебічне вивчення та об’єктивне висвітлення діяльності українського визвольного руху та сприяння процесу національного примирення» Указ Президента України від 13.03.02  № 239 “Про створення літопису народної пам’яті”Указ Президента України "Про День Державного Прапора України"  (23 серпня)</t>
  </si>
  <si>
    <t>менше за рах пр "Світова війна" ?</t>
  </si>
  <si>
    <t>1 р. на тиждень(з канік. у серпні-жовтні)</t>
  </si>
  <si>
    <t>Український вимір</t>
  </si>
  <si>
    <t>Ток-шоу про захист прав громадян</t>
  </si>
  <si>
    <t>Указ Президента України від 12.01.02  № 16 “Про заходи  щодо посилення державного захисту прав споживачів”Розпорядження Кабінету Міністрів України від 20.04.05 № 110 "Про затвердження плану заходів щодо реалізації Концепції забезпечення захисту законних прав та інтересів осіб, які потерпіли від злочинів, на 2005-2006 роки"Доручення КМУ № 37719/1/1-05 від 25.07.05р. до Указу Президента України від 19.07.05р. № 1119 «Про заходи щодо забезпечення особистої безпеки громадян та протидії злочинності»Указ Президента України від 11.07.05 № 1086 “Про першочергові заходи щодо захисту прав дітей”. На виконання цього Указу розроблено проект Національного плану дій на 2006-2016 роки щодо реалізації Конвенції ООН про права дитини.Постанова Верховної Ради України від 20.02.03 “Про стан забезпечення в Україні встановлених чинним законодавством соціальних, економічних, правових і конституційних гарантій у сфері соціального захисту та реабілітації інвалідів”</t>
  </si>
  <si>
    <t>5 р на тиждень</t>
  </si>
  <si>
    <t>Cільський час</t>
  </si>
  <si>
    <t>Тележурнал про життя селян України – їх проблеми
та досягнення</t>
  </si>
  <si>
    <t>Програма діяльності Кабінету Міністрів України,Указ Президента України від 01.08.2002р. № 683/2002 “Про додаткові заходи щодо забезпечення відкритості у діяльності органів державної влади”.Указ Президента України від 22.02.01 №108/2001, доручення від 25.04.01 №1-14/479, доручення КМУ від 11.03.01 №2777/1 “Про додаткові заходи щодо збільшення надходжень інвестицій в економіку України”,,Указ Президента України від 29.03.2000р. № 549/2000 “Про заходи щодо вдосконалення організації контролю за виконанням актів та доручень Президента України”,Указ Президента України від 29.08.2003р. №945 “Про роботу місцевих органів виконавчої влади щодо забезпечення сталого соціально-економічного розвитку регіону”,Указ Президента України від 24.04.2003р.</t>
  </si>
  <si>
    <t>35хв</t>
  </si>
  <si>
    <t>1 р. на тиждень(з канік. у грудні)</t>
  </si>
  <si>
    <t>Футбольні файли</t>
  </si>
  <si>
    <t>Історія світового та вітчизняного футболу</t>
  </si>
  <si>
    <t>Курорти України</t>
  </si>
  <si>
    <t>Тележурнал. Пропаганда здорового способу життя, профілактика і лікування різноманітних захворювань в умовах курорту</t>
  </si>
  <si>
    <t>Доручення Прем’єр-Міністра України від 10.01.2006 р.
№68393/1/1-05 до Указу Президента України від 27.12.05  №1845 «Про заходи щодо створення сприятливих умов для забезпечення соціальної, медичної та трудової реабілітації інвалідів»Розпорядження Кабінету Міністрів України від 10.07.06 № 393 «Про схвалення Концепції Загальнодержавної програми боротьби з онкологічними захворюваннями на 2007-2016 роки»Постанова Кабінету Міністрів України від 17.11.01р. № 1512 “Про внесення змін до постанови Кабінету Міністрів України від 28.11.97 № 1171 "Про деякі заходи щодо масової профілактики захворювань, пов'язаних з йодною недостатністю”Постанова Кабінету Міністрів України від 31.05.06 № 761 «Про затвердження державної програми запобігання та лікування серцево-судинних і судинно-мозкових захворювань на 2006-2010 роки»</t>
  </si>
  <si>
    <t>2р.на міс.</t>
  </si>
  <si>
    <t>Бондаренко просить змінити кільк на 24</t>
  </si>
  <si>
    <t>2р.на міс.
(по вересень)</t>
  </si>
  <si>
    <t>Садиба плюс</t>
  </si>
  <si>
    <t>Утримання, оформлення дизайн садиб та дачних ділянок</t>
  </si>
  <si>
    <t>Розпорядження КМУ від 02.02.2000р. №306 2про затвердження заходів щодо здійснеення політики підтримки самостійно зайнятого населення, сімейного підприємства малого та середнього бізнесу</t>
  </si>
  <si>
    <t>Благовісник</t>
  </si>
  <si>
    <t>Духовна програма. Поширення у суспільстві світобачення і моралі християнського віровчення, зростання і розвитку людської особистості на базі духовних цінностей.</t>
  </si>
  <si>
    <t>Розпорядження Кабінету Міністрів України від 07.03.06 № 126 «Про затвердження плану заходів на 2006-2007 роки щодо реалізації Концепції державної політики в галузі культури»Розпорядження Президента України від 23.09.05 № 1172 «Про заходи щодо реалізації державної політики у сфері міжнаціональних відносин, релігій і церкви», доручення Кабінету Міністрів України  № 49196/1/1-05 від 30.09.05; Указ Президента України від 21.03.02р. № 279 «Про невідкладні заходи щодо остаточного подолання негативних наслідків тоталітарної політики колишнього Союзу РСР стосовно релігії та відновлення порушених прав церков і релігійних організацій»</t>
  </si>
  <si>
    <t>Книга .ua</t>
  </si>
  <si>
    <t>Популяризація української книги, новини про всі цікавинки книжкового ринку країни, та думки видатних особистостей з приводу літературних вподобань</t>
  </si>
  <si>
    <t>Лист Національної Ради з питань культури і духовності при Президентові України від 24.05.06 № 24-7/1-19 щодо створення на УТ-1 телевізійного літературно-книжкового проекту Лист Комітету з Національної премії України імені Тараса Шевченка від 03.11.06  № 151  Розпорядження Кабінету Міністрів України від 07.03.06 № 126 «Про затвердження плану заходів на 2006-2007 роки щодо реалізації Концепції державної політики в галузі культури»Постанова КМУ від 02.10.03 № 1546 “Про Державну програму розвитку і функціонування української мови на 2004-2010 роки”Указ України №1088/2006 від 15.12.2006 про проведення в Україні у 2007 році Року української книги.</t>
  </si>
  <si>
    <t>1 р. на тиждень
(з вересня)</t>
  </si>
  <si>
    <t>Земля наша</t>
  </si>
  <si>
    <t>Цикл документальних фільмів про заповідники України, життя регіонів</t>
  </si>
  <si>
    <t>Постанова Кабінету Міністрів України від 12.05.04 № 612 щодо стану виконання Програми розбудови туристичної інфраструктури за напрямками національної мережі міжнародних транспортних коридорів та основних транспортних магістралей у 2004-2010 роках. Постанова Кабінету Міністрів України від 10.06.02 № 789 "Про затвердження Програми розвитку краєзнавства на період до 2010 року" до Указу Президента України від 23.01.01 № 35  “Про заходи  щодо підтримки краєзнавчого руху в Україні”Постанова Кабінету Міністрів України від 30.03.2002р. № 446 “Про утворення Державної служби охорони культурної спадщини”Доручення Кабінету Міністрів України від 26.05.05 № 26614/1/1-05 до Указу Президента України від 23.05.05 № 838 "Про заходи щодо дальшого розвитку природно-заповідної справи в Україні"</t>
  </si>
  <si>
    <t>1р. на місяць</t>
  </si>
  <si>
    <t xml:space="preserve">Наука,  цивілізація, культура
</t>
  </si>
  <si>
    <t>Цикл документальних фільмів про досягнення української науки, її вплив на розвиток світової науки, взаємодію України зі світом</t>
  </si>
  <si>
    <t>Розпорядження Кабінету Міністрів України від 23.12.04 № 959  щодо Державної програми інформування громадськості з питань європейської інтеграції України на 2004-2007 роки Указ Президента України від 04.10.01 № 924 “Про підтримку діяльності Всеукраїнської благодійної організації “Місія “Україна відома”Доручення Кабінету Міністрів України від 18.07.05 №10064/10/1-05 від щодо Плану дій співробітництва РЄ з УкраїноюУказ Президента України від 29.03.01 № 221 “Про додаткові заходи щодо підтримки молодих учених”Указ Президента України від 24.12.02 № 1210 “Про Положення про порядок надання грантів Президента України для підтримки наукових досліджень молодих учених”</t>
  </si>
  <si>
    <t>Хто в домі хазяїн</t>
  </si>
  <si>
    <t xml:space="preserve">Тележурнал, у якому йдеться про проблеми утримання домашніх тварин, 
природного оточення для людини.
</t>
  </si>
  <si>
    <t xml:space="preserve">Постанова КМУ від 14.03.2001 р.№ 243 “Про Програму “Українська родина”.
</t>
  </si>
  <si>
    <t>1 р. на тиждень
(з пер. на канік.)</t>
  </si>
  <si>
    <t>Документальні фільми, серіалиCFI</t>
  </si>
  <si>
    <t>Політичні портрети, журналістські розслідування, історична хроніка</t>
  </si>
  <si>
    <t xml:space="preserve">Постанова КМУ від 10.04.2001 р. №345 щодо Програми інтеграції до Євросоюзу,Угода про співробітництво між НТКУ і CFI №97/001 від 16.01.1997р. Постанова КМУ від 02.10.03. №1546 "Про Державну програму розвитку і функціонування української мови на 2004-2010 рр."
</t>
  </si>
  <si>
    <t>Окремі науково-пізнавальні програми CFI</t>
  </si>
  <si>
    <t>Адаптовані науково-популярні програми</t>
  </si>
  <si>
    <t xml:space="preserve">Постанова КМУ від 10.04.2001 р. №345 щодо Програми інтеграції до Євросоюзу,Угода про співробітництво між НТКУ і CFI №97/001 від 16.01.1997р. Постанова КМУ від 02.10.03. №1546 "Про Державну прораму розвитку і функціонування української мови на 2004-2010 рр."
</t>
  </si>
  <si>
    <t xml:space="preserve"> Розпорядження Кабінету Міністрів України від 07.03.06 № 126 «Про затвердження плану заходів на 2006-2007 роки щодо реалізації Концепції державної політики в галузі культури»
</t>
  </si>
  <si>
    <t>перенесено в культурно-
мистецькі програми</t>
  </si>
  <si>
    <t>У світі єдиноборств</t>
  </si>
  <si>
    <t>Про види єдиноборств, уроки для глядачів</t>
  </si>
  <si>
    <t xml:space="preserve">Бізнес-чемпіонат </t>
  </si>
  <si>
    <t>Просвітницько-розважальне ток-шоу</t>
  </si>
  <si>
    <t xml:space="preserve">Постанова КМУ від 10.04.2001 р. №345 щодо Програми інтеграції до Євросоюзу,Угода про співробітництво між НТКУ і CFI №97/001 від 16.01.1997р. Постанова КМУ від 02.10.03. №1546 "Про Державну прграму розвитку і функціонування української мови на 2004-2010 рр."
</t>
  </si>
  <si>
    <t>1р/тижд</t>
  </si>
  <si>
    <t xml:space="preserve">Між нами </t>
  </si>
  <si>
    <t>Висвітлення питань міжетнічних стосунків, злагоди у суспільстві, збереження самобутності багатонаціональної культури в Україні</t>
  </si>
  <si>
    <t>Розпорядження президента України від 23.09.05 № 1172 "Про заходи щодо реалізації державної політики у сфері міжнародних відносин, релігії і церкви"</t>
  </si>
  <si>
    <t>Цикл д/ф "Перспектива"</t>
  </si>
  <si>
    <t>Зелений туризм в Україні</t>
  </si>
  <si>
    <t>Постанова Кабінету Міністрів України від 29.04.02 № 583 “Про затвердження Державної програми розвитку туризму на 2002-2010 роки”Розпорядження Кабінету Міністрів України від 03.07.06 № 373 «Про затвердження плану заходів щодо державної підтримки розвитку сільського туризму на 2006-2010 роки»</t>
  </si>
  <si>
    <t>Історія України</t>
  </si>
  <si>
    <t>Цикл документальних фільмів про історію України</t>
  </si>
  <si>
    <t>Доручення Прем’єр-міністра України від 14.11.05  № 59156/1/1-05, доручення Президента України від 07.11.05  №1-1/1222</t>
  </si>
  <si>
    <t xml:space="preserve"> Світова війна</t>
  </si>
  <si>
    <t>Док фільми на відзначення 
62-ї річниці перемоги у Великій Віітчизняній війні</t>
  </si>
  <si>
    <t>Доручення Прем’єр-міністра України від 14.11.05  № 59156/1/1-05, доручення Президента України від 07.11.05  №1-1/1223</t>
  </si>
  <si>
    <t xml:space="preserve">Документальні відеофільми </t>
  </si>
  <si>
    <t>Відеофільми про обряди та звичаї,притаманні окремим регіонам України</t>
  </si>
  <si>
    <t>4 р. на рік</t>
  </si>
  <si>
    <t>Щаслива хата, де дітей багато</t>
  </si>
  <si>
    <t>Док. фільм до Міжнародного дня захисту дітей</t>
  </si>
  <si>
    <t>Розпорядження Кабінету Міністрів України від 01.07.02  № 355  “Про затвердження Комплексних заходів щодо заохочення народжуваності на 2002-2007 роки”</t>
  </si>
  <si>
    <t>№209</t>
  </si>
  <si>
    <t xml:space="preserve">Екзаменаційні
 завдання </t>
  </si>
  <si>
    <t>Оголошення завдань з української мови для 9,11 класів</t>
  </si>
  <si>
    <t xml:space="preserve"> Постанова КМУ від 02.10.03. №1546 "Про Державну прораму розвитку і функціонування української мови на 2004-2010 рр."</t>
  </si>
  <si>
    <t>Екіпаж</t>
  </si>
  <si>
    <t>Автомобільні новини</t>
  </si>
  <si>
    <t>Доручення Кабінету Міністрів України від 28.09.05  № 49229/1-05 до Указу Президента України від 24.09.05 № 1337 "Про вдосконалення проведення виставково-ярмаркових заходів у  Національному комплексі "Експоцентр України"; Постанова Кабінету Міністрів України від 17.11.04 № 1566 "Про затвердження Комплексної програми розвитку НК "Експоцентр України".Постанова Кабінету Міністрів України від 16.11.01 № 1502 “Про щорічний Всеукраїнський конкурс якості”Доручення Кабінету Міністрів від 09.09.04 № 38694/1/1-04 до розпорядження Президента України від 25.12.03 № 414 “Про Всеукраїнський конкурс-виставку “Кращий вітчизняний товар року”</t>
  </si>
  <si>
    <t>2р. на тиждень</t>
  </si>
  <si>
    <t>Здорово</t>
  </si>
  <si>
    <t>Здоровий спосіб життя</t>
  </si>
  <si>
    <t xml:space="preserve">Указ Президента від 03.01.2002р. №8/2002 “Про Комплексні заходи щодо поліпшення медичного обслуговування сільського населення на 2002-2005 роки”, Постанова КМУ від 26.2001р. №1512 </t>
  </si>
  <si>
    <t>Чотири стіни</t>
  </si>
  <si>
    <t>Огляд ринку нерухомості, нові технології, властивості сучасних будматеріалів, облаштування комунікації та підбір оздоблення торгівельних та виробничих площ, готелів, фітнес центрів.</t>
  </si>
  <si>
    <t>Постанова КМУ від 29.05.96р. №577 “Про заходи щодо інформування населення з питань функціонування фондового ринку”</t>
  </si>
  <si>
    <t>Авто-Тайм</t>
  </si>
  <si>
    <t>Про розвиток автомобільного транспорту</t>
  </si>
  <si>
    <t>Постанова Кабінету Міністрів України від 16.11.01 № 1502 “Про щорічний Всеукраїнський конкурс якості” . Доручення Кабінету Міністрів України від 28.09.05  № 49229/1-05 до Указу Президента України від 24.09.05 № 1337 "Про вдосконалення проведення виставково-ярмаркових заходів у  Національному комплексі "Експоцентр України"; .</t>
  </si>
  <si>
    <t>4р. на тиждень</t>
  </si>
  <si>
    <t>Документальний кіінопоказ</t>
  </si>
  <si>
    <t>Показ науково просвітницькх документальних фільмів</t>
  </si>
  <si>
    <t>було 100</t>
  </si>
  <si>
    <t>поставить 143,3 (за рах перехрестя)</t>
  </si>
  <si>
    <t>повтори</t>
  </si>
  <si>
    <t>Всього</t>
  </si>
  <si>
    <t>Розважальні і музичні передачі</t>
  </si>
  <si>
    <t>Муз.ua.</t>
  </si>
  <si>
    <t>Програма для всіх верств населення про музичні події</t>
  </si>
  <si>
    <t xml:space="preserve">Розпорядження Кабінету Міністрів України від 07.03.06 № 126 «Про затвердження плану заходів на 2006-2007 роки щодо реалізації Концепції державної політики в галузі культури» .Закон України від 03.03.05 № 2460-IV "Про концепцію державної політики в галузі культури на 2005-2007 роки" </t>
  </si>
  <si>
    <t xml:space="preserve">1р/тижд. </t>
  </si>
  <si>
    <t>Надвечір'я</t>
  </si>
  <si>
    <t>Культурна програма для людей похилого віку</t>
  </si>
  <si>
    <t>Розпорядження Кабінету Міністрів України  від 13.07.04  № 479  “Про затвердження Плану заходів щодо створення накопичувальної системи загальнообов’язкового пенсійного страхування на 2004-2007 роки”Розпорядження Кабінету Міністрів України від 07.03.06 № 1</t>
  </si>
  <si>
    <t>1р./тиж</t>
  </si>
  <si>
    <t>Спотикач</t>
  </si>
  <si>
    <t>Український народний блокбастер (гумористична програма). Висвітлення, популяризація національного гумору, народних пісень, обрядів.</t>
  </si>
  <si>
    <t xml:space="preserve">Указ Президента України від 15.03.02 № 258 
“Про невідкладні додаткові заходи щодо зміцнення моральності у суспільстві та утвердження здорового способу  життя” Постанова Кабінету Міністрів України від 23.12.04 № 1732 "Про затвердження Державної програми охорони та збереження нематеріальної культурної спадщини на 2004-2008 роки"Закон України від 03.03.05 № 2460-IV "Про концепцію державної політики в галузі культури на 2005-2007 роки" </t>
  </si>
  <si>
    <t>1 р. на тиждень( 8 міс.)</t>
  </si>
  <si>
    <t>Музичні концерти, фільми-вистави, цирк  CFI</t>
  </si>
  <si>
    <t>Концерти, фільми-вистави, цирк</t>
  </si>
  <si>
    <t>Указ Президента України від 27.04.1999р. № 456 “Про заходи щодо розвитку духовності, захисту моралі та формування здорового способу життя громадян”. Закон України від 03.03.05р. №2460"Про концепцію державної політики в галузі культури на 2005-2010 роки.</t>
  </si>
  <si>
    <t>Художні фільми і серіали,телефільми CFI</t>
  </si>
  <si>
    <t xml:space="preserve">Класика світового кіно і літератури,  твори провідних європейських митців на сучасну тематику  </t>
  </si>
  <si>
    <t>Постанова КМУ від 10.04.2001 р. №345 щодо Програми інтеграції до Євросоюзу,Угода про співробітництво між НТКУ і CFI №97/001 від 16.01.1997р., Постанова КМУ від 02.10.03. №1546 "Про Державну прграму розвитку і функціонування української мови на 2004-2010 р</t>
  </si>
  <si>
    <t>Міні-серіали CFI</t>
  </si>
  <si>
    <t xml:space="preserve">Розпорядження Кабінету Міністрів України від 07.03.06 № 126 «Про затвердження плану заходів на 2006-2007 роки щодо реалізації Концепції державної політики в галузі культури»Указ Президента України від 15.03.02 № 258 </t>
  </si>
  <si>
    <t>Ха-ха.ua.</t>
  </si>
  <si>
    <t>Гумористична розважальна програма</t>
  </si>
  <si>
    <t>Указ Президента України від 15.03.02 № 258 “Про невідкладні додаткові заходи щодо зміцнення моральності у суспільстві та утвердження здорового способу  життя”</t>
  </si>
  <si>
    <t>Суботній вечір
 на першому</t>
  </si>
  <si>
    <t>Міжнародний 
телевізійний фестиваль</t>
  </si>
  <si>
    <t>Указ Президента України від 21.03.2002 р. №279/2002 "Про невідкладні заходи щодо остаточного подолання негативних наслідків тоталітарної політики колишнього Союзу РСР стосовно релігій та відновлення порушених прав церков і релігійних організацій".</t>
  </si>
  <si>
    <t>3р. на місяць.</t>
  </si>
  <si>
    <t>Спортивні танці в Україні</t>
  </si>
  <si>
    <t>Чемпіонат України зі спортивних танців</t>
  </si>
  <si>
    <t>Постанова КМУ від 10.04.2001 р. №345 щодо Програми інтеграції до Євросоюзу Указ Президента України від 04.02.03 № 74 “Про серйозні недоліки у здійсненні заходів щодо захисту моральності та утвердження здорового способу життя в суспільстві”.</t>
  </si>
  <si>
    <t>Музичні відеофільми</t>
  </si>
  <si>
    <t>4р.
 на рік</t>
  </si>
  <si>
    <t>Хіт -парвад "Золота шарманка"</t>
  </si>
  <si>
    <t xml:space="preserve">Конкурсно-
концертна програма </t>
  </si>
  <si>
    <t>Постанова КМУ від 15.10.2003 р. №1609 "Про затвердження Державної програми забезпечення позитивного міжнародного іміджу України на 2003 – 2006 рр.",Національна програма "Закордонне українство" на період до 2010 р.</t>
  </si>
  <si>
    <t>1р/тиж</t>
  </si>
  <si>
    <t>ТКЄ-2007</t>
  </si>
  <si>
    <t>Танцювальний 
конкурс"Євробачення 2007"</t>
  </si>
  <si>
    <t>Постанова КМУ від 10.04.2001 р. №345 щодо Програми інтеграції до Євросоюзу</t>
  </si>
  <si>
    <t>Відбірковий
 ТКЄ-2007</t>
  </si>
  <si>
    <t>Світське життя</t>
  </si>
  <si>
    <t>Світські події, мода елітарні подорожі, фітнес, висока гастрономія, есклюзивні інтерв"ю зі світовими та українськими celebrities, актуальні культурні події</t>
  </si>
  <si>
    <t xml:space="preserve">Указ Президента України від 15.03.02 № 258 
“Про невідкладні додаткові заходи щодо зміцнення моральності у суспільстві та утвердження здорового способу  життя” .Закон України від 03.03.05 № 2460-IV "Про концепцію державної політики в галузі культури на 2005-2007 роки" </t>
  </si>
  <si>
    <t>Зірки світського життя</t>
  </si>
  <si>
    <t>Щоденник українського тижня моди</t>
  </si>
  <si>
    <t>Розповідь про українську моду</t>
  </si>
  <si>
    <t xml:space="preserve">Указ Президента України від 21.03.2002 р. №279/2002 "Про невідкладні заходи щодо остаточного подолання негативних наслідків тоталітарної політики колишнього Союзу РСР стосовно релігій та відновлення порушених прав церков і релігійних організацій". </t>
  </si>
  <si>
    <t>2/4</t>
  </si>
  <si>
    <t>Телеверсії творчих вечорів, конкурсів, фестивалів</t>
  </si>
  <si>
    <t>Концертні програми-телеверсії значних музичних і мистецьких подій, що відбуваються в Україні.</t>
  </si>
  <si>
    <t>1 р. на місяць</t>
  </si>
  <si>
    <t>Окремі музично-розважальні проекти ("Срібний силует", "Золоте перо". "Вибір року", "Золота шарманка", Зірки на арені цирку", Зірки за живий звук", "Золоті хіти" тощо)</t>
  </si>
  <si>
    <t>Програми подійові, розраховані на всі верстви населення, знайомлять глядачів України з новинами музики, зірками  естради радіо та телебачення, новими тенденціями у моді, тощо</t>
  </si>
  <si>
    <t xml:space="preserve">Розпорядження Кабінету Міністрів України від 07.03.06 № 126 «Про затвердження плану заходів на 2006-2007 роки щодо реалізації Концепції державної політики в галузі культури»Указ Президента України від 15.03.02 № 258 “Про невідкладні додаткові заходи щодо зміцнення моральності у суспільстві та утвердження здорового способу  життя” .Закон України від 03.03.05 № 2460-IV "Про концепцію державної політики в галузі культури на 2005-2007 роки" </t>
  </si>
  <si>
    <t>Пісенний конкурс 
Євробачення-2007
(ПКЄ-2007)</t>
  </si>
  <si>
    <t>Організація підготовка та висвітлення пісенного конкурсу Євробачення-2006 (включно з генеральними репетиціями)</t>
  </si>
  <si>
    <t>Постанова КМУ від 10.04.2001 р. №345 щодо Програми інтеграції до Євросоюзу Указ Президента України від 04.02.03 № 74 “Про серйозні недоліки у здійсненні заходів щодо захисту моральності та утвердження здорового способу життя в суспільстві”</t>
  </si>
  <si>
    <t>1 р. на рік</t>
  </si>
  <si>
    <t>5</t>
  </si>
  <si>
    <t>Дитячий  пісенний конкурс Євробачення-2007
(ДПКЄ-2007)</t>
  </si>
  <si>
    <t>Організація та проведення національного відбіркового та висвітлення  міжнародного дитячого  пісенного конкурсу 
(конкурс та щоденники)</t>
  </si>
  <si>
    <t>Постанова КМУ від 10.04.2001 р. №345 щодо Програми інтеграції до Євросоюзу Розпорядження Кабінету Міністрів України від 07.03.06 № 126 «Про затвердження плану заходів на 2006-2007 роки щодо реалізації Концепції державної політики в галузі культури»</t>
  </si>
  <si>
    <t>перенесено в дитячі програми</t>
  </si>
  <si>
    <t>Крок до зірок</t>
  </si>
  <si>
    <t>Конкурсно-розважальна програма, в якій приймають участь талановиті діти і зірки української естради.</t>
  </si>
  <si>
    <t xml:space="preserve">Указ Президента України від 29.03.2001 р. №221/2001 “Про додаткові заходи щодо реалізації молодіжної політики”, доручення КМУ  від 26.03.2001 р.  №3770/4,    від 6.04.2001 р. №4689/1, Указ Президента України від 29.03.2001р. № 221/2001 </t>
  </si>
  <si>
    <t>8</t>
  </si>
  <si>
    <t>Вихідні по українськи</t>
  </si>
  <si>
    <t>Як українці проводять свята та вихідні</t>
  </si>
  <si>
    <t xml:space="preserve"> Закон України від 03.03.05 № 2460-IV "Про концепцію державної політики в галузі культури на 2005-2007 роки" № 1712 “Про  Комплексну програму “Стратегія подолання бідності”, Концепція поліпшення продовольчого забезпечення та якості харчування населення.</t>
  </si>
  <si>
    <t>37 влас.
13 стор</t>
  </si>
  <si>
    <t>наказ 
від 02.04 №186 (факт. Ефір  з 7 квітня)</t>
  </si>
  <si>
    <t>Історія одного ресторану</t>
  </si>
  <si>
    <t>Реаліті-шоу про створення
ресторану</t>
  </si>
  <si>
    <t xml:space="preserve">Указ Президента України від 29.03.2001 р. №221/2001 “Про додаткові заходи щодо реалізації молодіжної політики”, доручення КМУ  від 26.03.2001 р.  №3770/4,    від 6.04.2001 р. №4689/1, Указ Президента України від 29.03.2001р. № 221/2001. </t>
  </si>
  <si>
    <t>Наша пісня</t>
  </si>
  <si>
    <t>Концерт українських пісень</t>
  </si>
  <si>
    <t>2р.на тиждень</t>
  </si>
  <si>
    <t>Театр пісні М.Поплавського</t>
  </si>
  <si>
    <t>Богатир року 2007</t>
  </si>
  <si>
    <t xml:space="preserve">Про найсильніших людей планети. </t>
  </si>
  <si>
    <t>Постанова Кабінету Міністрів України від 15.11.06 № 1594 «Про затвердження державної програми розвитку фізичної культури і спорту на 2007-2011 роки».</t>
  </si>
  <si>
    <t>Улюблені пісні</t>
  </si>
  <si>
    <t>Улюблені пісні 50 -х та 60-х років</t>
  </si>
  <si>
    <t>Мегашоу світла  вогню та води</t>
  </si>
  <si>
    <t>Спілкування заради майбутнього</t>
  </si>
  <si>
    <t>Сімейний кінозал</t>
  </si>
  <si>
    <t>Фільми для сімейного перегляду.</t>
  </si>
  <si>
    <t>Указ Президента України від 15.03.2002р. № 258/2002 “Про невідкладні додаткові заходи щодо зміцнення моральності у суспільстві та утвердження здорового способу життя”, Закон України від 03.03.05 № 2460-ІУ "Про концепцію державної політики в галузі культур</t>
  </si>
  <si>
    <t>Дитячі передачі</t>
  </si>
  <si>
    <t>Індиго</t>
  </si>
  <si>
    <t>Дитяча програма про вундеркіндів.</t>
  </si>
  <si>
    <t>Доручення КМУ від 16.12.03 N80080, розпорядження КМУ „Про затвердження заходів щодо виконання Загальнодержавної підтримки молоді на 2004-2008р."</t>
  </si>
  <si>
    <t>4р./тиж</t>
  </si>
  <si>
    <t>3-4 р на тижд.</t>
  </si>
  <si>
    <t>Пани нахаби</t>
  </si>
  <si>
    <t>Для дітей середнього шкільного віку</t>
  </si>
  <si>
    <t>Доручення КМУ від 21.04.03 №23003"Запровадження культурно-просвітницьких телепрограм для учнівської молоді"</t>
  </si>
  <si>
    <t>1 р на тижд. жовтень)</t>
  </si>
  <si>
    <t>Казки ведмедика Дрімки</t>
  </si>
  <si>
    <t>Програма для дітей дошкільного віку</t>
  </si>
  <si>
    <t>Указ Президента України від 23.06.2001р. N467/2001 „Про додаткові заходи щодо вдосконалення соціальної роботи з дітьми”</t>
  </si>
  <si>
    <t>Було  73,63</t>
  </si>
  <si>
    <t>Дрімляндія</t>
  </si>
  <si>
    <t>Містечко "Надія"</t>
  </si>
  <si>
    <t>Програма  духовного та естетичного спрямування для дітей</t>
  </si>
  <si>
    <t xml:space="preserve">Указ Президента України від 23.06.2001р. N467/2001 „Про додаткові заходи щодо вдосконалення соціальної роботи з дітьми” .Указ Президента України від 11.07.05 № 1086 “Про першочергові заходи щодо захисту прав дітей”. </t>
  </si>
  <si>
    <t>1 р на тижд.
(по вересень)</t>
  </si>
  <si>
    <t xml:space="preserve">Мультфільми і мультсеріали CFI   </t>
  </si>
  <si>
    <t>Казки, пригоди, комедії іноземних авторів.</t>
  </si>
  <si>
    <t xml:space="preserve">Молодіжні серіали CFI </t>
  </si>
  <si>
    <t xml:space="preserve">Постанова КМУ від 10.04.2001 р. №345 щодо Програми інтеграції до Євросоюзу,Угода про співробітництво між НТКУ і CFI №97/001 від 16.01.1997р., Постанова КМУ від 02.10.03. №1546 "Про Державну прграму розвитку і функціонування української мови на 2004-2010 рр." </t>
  </si>
  <si>
    <t>полуфінал, фінал, щоденник (5 хв)</t>
  </si>
  <si>
    <t>Конкурс дитячої пісні "Євробачення 2007"</t>
  </si>
  <si>
    <t>Міжнародний конкурс на кращу пісню</t>
  </si>
  <si>
    <t>Тиждень в Артеку</t>
  </si>
  <si>
    <t>Про організацію відпочинку дітей</t>
  </si>
  <si>
    <t>Телеверсії дитячих концертів конкурсів</t>
  </si>
  <si>
    <t>1 р на тиждень з повт.</t>
  </si>
  <si>
    <t xml:space="preserve">Мультфільми 
та дитячі  фільми </t>
  </si>
  <si>
    <t>Ретроспективний показ вітчизняних мультфільмів та дитячих фільмів</t>
  </si>
  <si>
    <t xml:space="preserve"> було 200 ( не врах в формулі)</t>
  </si>
  <si>
    <t>мульт</t>
  </si>
  <si>
    <t>Фільми пізнавального характеру  для дітей</t>
  </si>
  <si>
    <t>док</t>
  </si>
  <si>
    <t>Клуб суперкниги</t>
  </si>
  <si>
    <t>Духовна програма для дітей та підлітків, що намагається передати своє розуміння добра і зла.</t>
  </si>
  <si>
    <t xml:space="preserve">Указ  Президента України від 21.02.2003р. №154/2003, доручення КМУ  від 26.02.03 №11090 “Про Державну програму запобігання дитячій бездоглядності на 2003-2005 роки”, Указ Президента України від 23.06.2001р. №467/2001 </t>
  </si>
  <si>
    <t>Мультфільми (Ємануїл)</t>
  </si>
  <si>
    <t>Христианська тематика</t>
  </si>
  <si>
    <t xml:space="preserve">Указ  Президента України від 21.02.2003р. №154/2003, доручення КМУ  від 26.02.03 №11090 “Про Державну програму запобігання дитячій бездоглядності на 2003-2005 роки”, Указ Президента України від 23.06.2001р. №467/2001. </t>
  </si>
  <si>
    <t>від 5 до 30</t>
  </si>
  <si>
    <t>Інші передачі</t>
  </si>
  <si>
    <t>Соціальна реклама</t>
  </si>
  <si>
    <t>Відіоролики з проблем соцзахисту та захисту моралі, здорового способу життя</t>
  </si>
  <si>
    <t>Постанова Кабінету міністрів України від 04.03.04 № 264 "Про затвердження Концепції стратегії дій Уряду, спрямованих на запобігання поширенню ВІЛ-інфекції/СНІДУ, на період до 2011 року  та Національної програми забезпечення профілактики ВІЛ-інфекції тощо.Постанова Кабінету Міністрів України від 11.05.06 № 623 «Про затвердження державної програми подолання дитячої безпритульності і бездоглядності на 2006-2010 роки»</t>
  </si>
  <si>
    <t>Анонси передач і настройки</t>
  </si>
  <si>
    <t>Анонси,
 заставки</t>
  </si>
  <si>
    <t>ВСЬОГО за рік:</t>
  </si>
  <si>
    <t>план</t>
  </si>
  <si>
    <t xml:space="preserve">Всього із змінами </t>
  </si>
  <si>
    <t>%</t>
  </si>
  <si>
    <t>Держзамовл</t>
  </si>
  <si>
    <t>на добу</t>
  </si>
  <si>
    <t>за ліцензією</t>
  </si>
  <si>
    <t>відхил від ліц</t>
  </si>
  <si>
    <t>за ліц в межах держзам</t>
  </si>
  <si>
    <t>відхил</t>
  </si>
  <si>
    <t>Всього за рік</t>
  </si>
  <si>
    <t>Програми стороннього виробника, які треба внести в Держзамовлення</t>
  </si>
  <si>
    <t xml:space="preserve">Про благодійні акції , милосердні вчінки людей, що небайдужі до чужої біди
</t>
  </si>
  <si>
    <t>2р. на місяць</t>
  </si>
  <si>
    <t xml:space="preserve">Програма на військово-патріотичну тематику про </t>
  </si>
  <si>
    <t>Про діяльність Міністерства надзвичайних ситуацій</t>
  </si>
  <si>
    <t>Зустріч-діалог з видатними особистостями</t>
  </si>
  <si>
    <t>1р. на тиждень+
повтор</t>
  </si>
  <si>
    <t>Огляд вітчизняного ринку нерухомості</t>
  </si>
  <si>
    <t>Вихідні по українські</t>
  </si>
  <si>
    <t>1р.на тиждень+
повтор</t>
  </si>
  <si>
    <t>Президент НТКУ</t>
  </si>
  <si>
    <t>В.В.Докаленко</t>
  </si>
  <si>
    <t>"ЗАТВЕРДЖУЮ"</t>
  </si>
  <si>
    <t>ЗАТВЕРДЖУЮ</t>
  </si>
  <si>
    <t>Голова Державного комітету</t>
  </si>
  <si>
    <t>телебачення і радіомовлення України</t>
  </si>
  <si>
    <t>____________________ Е. А. Прутнік</t>
  </si>
  <si>
    <t>_______________Е.А.Прутнік</t>
  </si>
  <si>
    <t>"_____" _________________ 2006 р.</t>
  </si>
  <si>
    <t>"_____" _________________     2007р.</t>
  </si>
  <si>
    <t xml:space="preserve">Зміни
 до тематичного плану </t>
  </si>
  <si>
    <t>Національної телекомпанії України</t>
  </si>
  <si>
    <t xml:space="preserve"> Виконання держзамовлення з виробництва і розповсюдження телевізійних передач у 2007 році</t>
  </si>
  <si>
    <t>Назва передачі</t>
  </si>
  <si>
    <t>Коротка анотація</t>
  </si>
  <si>
    <t>Законодавчі та нормативно-правові акти</t>
  </si>
  <si>
    <t>Тематичний план на 01.01.2007р.</t>
  </si>
  <si>
    <t>Тематичний план з урахуванням змін І</t>
  </si>
  <si>
    <t xml:space="preserve">Зміни до тематичного 
плану </t>
  </si>
  <si>
    <t>Тематичний план з урахуванням змін</t>
  </si>
  <si>
    <t>Зміни
 до тематичного плану</t>
  </si>
  <si>
    <t>на01.01.07</t>
  </si>
  <si>
    <t>діючий</t>
  </si>
  <si>
    <t>з корегуванням</t>
  </si>
  <si>
    <t>Мова</t>
  </si>
  <si>
    <t>Хроно-метраж (хв.)</t>
  </si>
  <si>
    <t>Періодич-ність</t>
  </si>
  <si>
    <t>Кіль-кість передач на рік</t>
  </si>
  <si>
    <t>Обсяг передач на рік (год.)</t>
  </si>
  <si>
    <t>Відхилення</t>
  </si>
  <si>
    <t>Відхилення
обсягу передач
власного
мовлення</t>
  </si>
  <si>
    <t>Відхилення
обсягу передач
іншого
мовлення</t>
  </si>
  <si>
    <t>Разом</t>
  </si>
  <si>
    <t>Серед-ній
 хр-ж 1 прогр. (хв.)</t>
  </si>
  <si>
    <t>Відхилення обсягу передач власного мовлення</t>
  </si>
  <si>
    <t>Відхилення обсягу передач іншого мовлення</t>
  </si>
  <si>
    <t>власне</t>
  </si>
  <si>
    <t>інші</t>
  </si>
  <si>
    <t xml:space="preserve">Кіно </t>
  </si>
  <si>
    <t>Повтор</t>
  </si>
  <si>
    <t>стор</t>
  </si>
  <si>
    <t>то</t>
  </si>
  <si>
    <t>вид
зміни</t>
  </si>
  <si>
    <t>вид 
без змін
(1 вар.)</t>
  </si>
  <si>
    <t>Інформаційно-аналітичні і публіцистичні передачі</t>
  </si>
  <si>
    <t>"Новини"</t>
  </si>
  <si>
    <t>Ранковий випуск</t>
  </si>
  <si>
    <t>Програма діяльності Кабінету Міністрів України. Указ Президента України від 01.08.02 № 683 “Про додаткові заходи щодо забезпечення відкритості у діяльності органів державної влади”.Розпорядження Кабінету Міністрів України від 03.08.06 № 460 «Про поліпшення інформування про суспільні процеси в Україні»Указ Президента України "Про Державні програми інформування громадськості з питань європейської та євроатлантичної  інтеграції України на 2004-2007 роки". Розпорядження Кабінету Міністрів України від 17.06. 04 № 395 “Деякі питання забезпечення виконання Державної програми інформування громадськості з питань євроатлантичної інтеграції України на 2004-2007 роки”. Доручення Кабінету Міністрів України від 05.12.06 № 50330/0/1-06 .</t>
  </si>
  <si>
    <t>укр</t>
  </si>
  <si>
    <t>укр.</t>
  </si>
  <si>
    <t>1 р. на день</t>
  </si>
  <si>
    <t>1</t>
  </si>
  <si>
    <t xml:space="preserve">Денний випуск </t>
  </si>
  <si>
    <t>українська</t>
  </si>
  <si>
    <t>Два рази на день
 5 р. на тиждень</t>
  </si>
  <si>
    <t>ї</t>
  </si>
  <si>
    <t>Денний випуск о 15.00</t>
  </si>
  <si>
    <t>5 р. на тиждень</t>
  </si>
  <si>
    <t>Вечірній випуск о 19.00</t>
  </si>
  <si>
    <t>Підсумковий випуск о 21.00</t>
  </si>
  <si>
    <t>Програма діяльності Кабінету Міністрів України. Указ Президента України від 01.08.02 № 683 “Про додаткові заходи щодо забезпечення відкритості у діяльності органів державної влади”.Розпорядження Кабінету Міністрів України від 03.08.06 № 460 «Про поліпшення інформування про суспільні процеси в Україні»Указ Президента України "Про Державні програми інформування громадськості з питань європейської та євроатлантичної  інтеграції України на 2004-2007 роки". Доручення Кабінету Міністрів України від 05.12.06 № 50330/0/1-06 .</t>
  </si>
  <si>
    <t>2 р. на тиждень</t>
  </si>
  <si>
    <t>"Новини"
спецвипуск</t>
  </si>
  <si>
    <t>Спеціальний випуск новин</t>
  </si>
  <si>
    <t>Міжнародні новини</t>
  </si>
  <si>
    <t>вечірній
 випуск</t>
  </si>
  <si>
    <t xml:space="preserve">Указ Президента України "Про Державні програми інформування громадськості з питань європейської та євроатлантичної  інтеграції України на 2004-2007 роки". Розпорядження Кабінету Міністрів України від 17.06. 04 № 395 “Деякі питання забезпечення виконання Державної програми інформування громадськості з питань євроатлантичної інтеграції України на 2004-2007 роки”. </t>
  </si>
  <si>
    <t>5р. на тижд.
(з 10.12)</t>
  </si>
  <si>
    <t>Аграрна країна. Підсумок</t>
  </si>
  <si>
    <t>Висвітлення проблем аграрно промислового комплексу</t>
  </si>
  <si>
    <t>Указ Президента України від 29.08.03 №945 “Про роботу місцевих органів виконавчої влади щодо забезпечення сталого соціально-економічного розвитку регіону”. Указ Президента України від 06.06.00 № 767 “Про заходи щодо забезпечення формування та функціонування аграрного ринку”.Постанова Кабінету Міністрів України від 16.11.02 № 1760  „Програма розвитку та державної підтримки вівчарства на 2003-2010 роки” Закон України від 19.02.04 № 1516-IV „Загальнодержавна програма розвитку рибного господарства України на період до 2010 року.</t>
  </si>
  <si>
    <t>1р. на тижд.
( з 14.12)</t>
  </si>
  <si>
    <t xml:space="preserve">Аграрна країна. </t>
  </si>
  <si>
    <t>5р. на тижд.
(з 11.12)</t>
  </si>
  <si>
    <t>Світ спорту</t>
  </si>
  <si>
    <t>Спортивні новини о 21.20</t>
  </si>
  <si>
    <t>Указ Президента України від 28.09.04р. №1148,Постанова КМУ від 13.12.04р. №1641 “Про затвердження заходів з реалізації Національної доктрини розвитку фізичної культури і спорту у 2005 році” ,Доручення КМУ від 14.10.04р. №35868/49/1-04 щодо підготовки та проведення  Всеукраїнських сільських спортивних ігор,Постанова КМУ №1678 від 16.12.04р. "Про порядок застосування до закладів фізичної культури та спорту пільг з плати за землю у 2005р.",Постанова КМУ №985-р від 31.12.04р."Про заходи щодо підготовки та проведення в Україні у 2005р. Міжнародного року спорту і фізичного виховання ".</t>
  </si>
  <si>
    <t>6 р. на тиждень</t>
  </si>
  <si>
    <t>6р/тиж</t>
  </si>
  <si>
    <t>6 р на тиждень(з перерв. у вересні)</t>
  </si>
  <si>
    <t xml:space="preserve">Світ спорту </t>
  </si>
  <si>
    <t>Спортивні новини о 19.35</t>
  </si>
  <si>
    <t>5 р на тиждень(з перерв. у вересні)</t>
  </si>
  <si>
    <t>"Погода"</t>
  </si>
  <si>
    <t>Прогноз погоди</t>
  </si>
  <si>
    <t xml:space="preserve">Розпорядження від 26.08.03  № 537 “Про затвердження плану заходів щодо поліпшення екологічної освіти, виховання населення, стимулювання та пропаганди ощадливого використання води” </t>
  </si>
  <si>
    <t>2 р. на день</t>
  </si>
  <si>
    <t>1-2 р. на день</t>
  </si>
  <si>
    <t>"Діловий світ"</t>
  </si>
  <si>
    <t>Щоденні підсумки основних економічних подій. Коментарі</t>
  </si>
  <si>
    <t>Програма діяльності Кабінету Міністрів України Постанова Кабінету Міністрів України від 14.09.06 № 1312 «Про схвалення проекту Закон України «Про Державний бюджет  України на 2007 рік»Розпорядження Кабінету Міністрів України від 03.08.06 № 460 «Про поліпшення інформування про суспільні процеси в Україні»Указ Президента України від 15.02.05. № 240 “Про рішення Ради національної безпеки і оборони України “Про вдосконалення державного регулювання діяльності підприємств з іноземними інвестиціями в Україні”</t>
  </si>
  <si>
    <t>тричі на день 5 р. на тиждень</t>
  </si>
  <si>
    <t>2-3р. на день,  5 р. на тиждень</t>
  </si>
  <si>
    <t>"Діловий світ. Тиждень"</t>
  </si>
  <si>
    <t>Аналітичні підсумки основних економічних подій</t>
  </si>
  <si>
    <t>1 р. на тиждень</t>
  </si>
  <si>
    <t>"Точка зору"</t>
  </si>
  <si>
    <t>Інтерв"ю з коментарем основних подій</t>
  </si>
  <si>
    <t>Указ Президента України від 01.08.02 № 683 “Про додаткові заходи щодо забезпечення відкритості у діяльності органів державної влади”.Програма діяльності Кабінету Міністрів УкраїниЗакон України від 17.11.92 № 2790-XII «Про статус народного депутата України»Указ Президента України  від 15.11.05 № 1276 «Про забезпечення участі громадськості у формуванні та реалізації державної політики»Постанова Кабінету Міністрів України від 29.08.2002р. № 1302 “Про заходи щодо подальшого забезпечення відкритості у діяльності органів виконавчої влади”Розпорядження Кабінету Міністрів України від 03.08.06 № 460 «Про поліпшення інформування про суспільні процеси в Україні»</t>
  </si>
  <si>
    <t>4 р. на тиждень</t>
  </si>
  <si>
    <t>4 р. на тиждень
(з канік.)</t>
  </si>
  <si>
    <t>Толока</t>
  </si>
  <si>
    <t>Соціально-політичне ток-шоу. Дискусійний майданчик у прямому ефірі для представників різних політичних сил та пересічних  громадян України</t>
  </si>
  <si>
    <t>Програма діяльності Кабінету Міністрів
 УкраїниДоручення Кабінету Міністрів України від 17.11.06 № 45637/4/1-06  до доручення Прем’єр-міністра України від 14.11.06 № 45637/3/1-06 та до листа Голови Верховної Ради України від 13.11.06 3 01-2/184 Закон України від 17.11.92 № 2790-XII «Про статус народного депутата України»Указ Президента України  від 15.11.05 № 1276 «Про забезпечення участі громадськості у формуванні та реалізації державної політики»Розпорядження Кабінету Міністрів України від 01.08.06 № 445 «Про затвердження плану заходів щодо розвитку соціального діалогу в Україні»</t>
  </si>
  <si>
    <t>1 р. на тиждень
(по 19.03)</t>
  </si>
  <si>
    <t>Ваш вихід</t>
  </si>
  <si>
    <t xml:space="preserve">Соціальне ток-шоу. Актуальні проблеми пересічних громадян України: питання життя, здоров'я, достатку, самореалізації, екології тощо. </t>
  </si>
  <si>
    <t xml:space="preserve">Програма діяльності Кабінету Міністрів УкраїниУказ Президента України  від 15.11.05 № 1276 «Про забезпечення участі громадськості у формуванні та реалізації державної політики»Розпорядження Кабінету Міністрів України від 01.08.06 № 445 «Про затвердження плану заходів щодо розвитку соціального діалогу в Україні»Розпорядження Кабінету Міністрів України від 10.07.06 № 393 «Про схвалення Концепції Загальнодержавної програми боротьби з онкологічними захворюваннями на 2007-2016 роки»Доручення Кабінету Міністрів України від 07.10.05  № 52656/1/1-05, Постанова Верховної Ради України від 22.09.2005 р. № 2895 “Про інформацію Кабінету Міністрів України про посилення боротьби з наркоманією в Україні" Постанова Верховної Ради України від 22.09.05 № 2894-IV “Про Рекомендації парламентських слухань “Забезпечення прав дітей  в Україні. </t>
  </si>
  <si>
    <t>Рада. Політичний підсумок тижня.</t>
  </si>
  <si>
    <t>Щотижнева інформаційно-аналітична підсумкова програма. Подання збалансованої, повної і достеменної політичної картини тижня.</t>
  </si>
  <si>
    <t>Закон України від 07.07.05  № 2777-IV "Про внесення змін до Закону України 
 від 25.03.04 № 1665-IV "Про вибори народних депутатів України"Указ Президента України від 01.08.02 № 683 “Про додаткові заходи щодо забезпечення відкритості у діяльності органів державної влади”.Постанова Кабінету Міністрів України від 29.08.2002р. № 1302 “Про заходи щодо подальшого забезпечення відкритості у діяльності органів виконавчої влади”</t>
  </si>
  <si>
    <t>1 р. на тиждень
(по серпень)</t>
  </si>
  <si>
    <t>Контрольний пакет</t>
  </si>
  <si>
    <t>Політико-економічний проект. Сприяти іміджу України як інвестиційно привабливої держави, прогнози, ризики і перспективи. Стратегічна приватизація, питання національної безпеки, інвестиційний клімат, державна соціальна політика.</t>
  </si>
  <si>
    <t xml:space="preserve">Розпорядження Кабінету Міністрів України   "Про затвердження Програми «Інвестиційний імідж  України», від 17.08.02  № 477.Указ Президента України від 15.02.05. № 240 “Про рішення Ради національної безпеки і оборони України “Про вдосконалення державного регулювання діяльності підприємств з іноземними інвестиціями в Україні”Указ Президента України від 06.12.2001р. № 1193/2001 “Про рішення Ради національної безпеки і оборони України від 31 жовтня 2001 року “Про заходи щодо вдосконалення державної інформаційної політики та забезпечення інформаційної безпеки України”Указ Президента України від 24.11.05 № 1648 "Про рішення Ради національної безпеки і оборони України від 29.06.05  "Про заходи щодо поліпшення інвестиційного клімату в Україні" та від 28.10.05  "Про заходи щодо утвердження гарантій та підвищення ефективності захисту права власності в Україні" </t>
  </si>
  <si>
    <t>1р. на тиждень</t>
  </si>
  <si>
    <t>1 р. на тиждень
(згідно сітки по червень)</t>
  </si>
  <si>
    <t>Аудієнція</t>
  </si>
  <si>
    <t>Знайомство з впливовими та відомими особистостями світу кінця ХХ- початку ХХІ ст.</t>
  </si>
  <si>
    <t>Постанова Кабінету Міністрів України від 26.07.06 № 1034 «Про затвердження Державної програми співпраці із закордонними українцями на період до 2010 року»Указ Президента України "Про Державні програми інформування громадськості з питань європейської та євроатлантичної  інтеграції України на 2004-2007 роки"Розпорядження Кабінету Міністрів України від 17.06. 04 № 395 “Деякі питання забезпечення виконання Державної програми інформування громадськості з питань євроатлантичної інтеграції України на 2004-2007 роки”Розпорядження Кабінету Міністрів України від 24.03.04 № 165 "Про затвердження Держаної програми підготовки та підвищення кваліфікації України на 2004-2007 роки", Указ Президента України «Про державні програми з питань європейської та євроатлантичної інтеграції України на 2004-2007 роки»</t>
  </si>
  <si>
    <t>Життя триває</t>
  </si>
  <si>
    <t>Щоденна програма,для людей похилого віку, домогосподарок. Популяризація здорового способу життя, моральності, народних звичаїв.</t>
  </si>
  <si>
    <t>Розпорядження Кабінету Міністрів України  від 13.07.04  № 479  “Про затвердження Плану заходів щодо створення накопичу вальної системи загальнообов’язкового пенсійного страхування на 2004-2007 роки”Розпорядження  Кабінету Міністрів України від 20.07.06 № 417 «Про поліпшення ситуації у сфері зайнятості населення на 2006-2009 рр.»Розпорядження Кабінету Міністрів України від 01.08.06 № 445 «Про затвердження плану заходів щодо розвитку соціального діалогу в Україні»Розпорядження Кабінету Міністрів України від 24.06.2006 р. №350-р «Про затвердження плану заходів щодо посилення соціального захисту колишніх політичних в’язнів і репресованих та членів їх сімей на 2006 – 2010 роки»</t>
  </si>
  <si>
    <t>5р./тиж</t>
  </si>
  <si>
    <t>5 р. на тиждень
( з канік.)</t>
  </si>
  <si>
    <t xml:space="preserve">Документальні фільми </t>
  </si>
  <si>
    <t>Портрети та сторінки життя видатних політичних та громадських діячів, лауреатів,  філософів, конструкторів,  історичне минуле та сьогодення України</t>
  </si>
  <si>
    <t>Доручення Кабінету Міністрів України від 30.06.06 № 22819/1/1-06  та Указ Президента України від 21.06.06 № 555 «Про вшанування пам’яті В’ячеслава Липинського»Розпорядження Кабінету Міністрів України  від 26.07.06 № 424 «Про підготовку та відзначення 190-річчя від дня народження  М.І. Костомарова»Доручення Кабінету Міністрів України від 17.11.06 № 45559/2/1-06 до Указу Президента України від 10.11.06 № 941  «Про відзначення 100-річчя  від дня народження Олега Ольжича». Указ Президента України від 13.03.02  № 239 “Про створення літопису народної пам’яті”</t>
  </si>
  <si>
    <t>Телемарафони та телетрансляції урочистих подій за участю керівників держави</t>
  </si>
  <si>
    <t xml:space="preserve">Прямі трансляції </t>
  </si>
  <si>
    <t>Програма діяльності Кабінету Міністрів УкраїниУказ 
Президента України  від 15.11.05 № 1276 «Про забезпечення участі громадськості у формуванні та реалізації державної політики»Указ Президента України від 01.08.02 № 683 “Про додаткові заходи щодо забезпечення відкритості у діяльності органів державної влади”.Розпорядження Кабінету Міністрів України від 11.06.03 № 352 “Про підготовку та опублікування для обговорення громадськістю  щоквартальної доповіді про роботу Кабінету Міністрів України”Розпорядження Кабінету Міністрів України від 03.08.06 № 460 «Про поліпшення інформування про суспільні процеси в Україні»Доручення Кабінету Міністрів України від 16.11.2006 р. №45562/1/1-06 до Указу Президента України від 10.11.2006 р. №945 «Про День вшанування учасників ліквідації наслідків аварії на Чорнобильській АЕС»Указ Президента України "Про День Державного Прапора України"  (23 серпня)Поставнова Верховної ради України від 20.02.92 № 2143-XII "Про День незалежності України    (24 серпня)</t>
  </si>
  <si>
    <t>Ми і НАТО</t>
  </si>
  <si>
    <t>Проблеми Євроатлантичної
 інтеграції</t>
  </si>
  <si>
    <t>Указ Президента України "Про Державні програми інформування громадськості з питань європейської та євроатлантичної  інтеграції України на 2004-2007 роки"Розпорядження Кабінету Міністрів України від 17.06. 04 № 395 “Деякі питання забезпечення виконання Державної програми інформування громадськості з питань євроатлантичної інтеграції України на 2004-2007 роки”Розпорядження Кабінету Міністрів України від 24.03.04 № 165 "Про затвердження Держаної програми підготовки та підвищення кваліфікації України на 2004-2007 роки", Указ Президента України «Про державні програми з питань європейської та євроатлантичної інтеграції України на 2004-2007 роки»</t>
  </si>
  <si>
    <t>4р. на рік</t>
  </si>
  <si>
    <t>№390</t>
  </si>
  <si>
    <t>До дня Незалежності України, показ людей  з фізичними вадами, які знайшли своє місце в житті і ювілейні дати в історії України</t>
  </si>
  <si>
    <t>Доручення Кабінету Міністрів України до листа Глави Секретаріату Президента України від 27.11.06 № 02-02/1672 щодо річниці Всеукраїнського референдуму (1 грудня 1991 року) що підтвердив акт проголошення незалежності України. Розпорядження Кабінету Міністрів України від 03.11.05 № 444  «Про затвердження плану додаткових заходів щодо створення сприятливих умов життєдіяльності осіб з обмеженими фізичними можливостями» Указ Президента України від 06.04.06 № 290 «Про заходи щодо фізкультурно-спортивної реабілітації інвалідів та підтримки паралімпійського і дефлімпійського руху в Україні.</t>
  </si>
  <si>
    <t>1раз на місяць</t>
  </si>
  <si>
    <t>Сім днів спорту</t>
  </si>
  <si>
    <t>Тижневий огляд спортивних подій</t>
  </si>
  <si>
    <t xml:space="preserve">Указ Президента України від 28.09.04р. №1148,Постанова КМУ від 13.12.04р. №1641 “Про затвердження заходів з реалізації Національної доктрини розвитку фізичної культури і спорту у 2005 році” ,Доручення КМУ від 14.10.04р. №35868/49/1-04 щодо підготовки та проведення  Всеукраїнських сільських спортивних ігор,
</t>
  </si>
  <si>
    <t>щотижня</t>
  </si>
  <si>
    <t>Наш футбол</t>
  </si>
  <si>
    <t>Огляд 
футбольних подій</t>
  </si>
  <si>
    <t>Указ Президента України від 01.09.98  № 963  “Про затвердження Цільової комплексної програми “Фізичне виховання  - здоров’я нації” Постанова Кабінету Міністрів України від 26.04.03 № 651 "Про затвердження Державної програми “Тренер” на 2003-2008 роки"</t>
  </si>
  <si>
    <t>"7 хвилин тижня"</t>
  </si>
  <si>
    <t>Підсумкова інформаційна програма</t>
  </si>
  <si>
    <t>Розпорядження Кабінету Міністрів України від 03.08.06 № 460 «Про поліпшення інформування про суспільні процеси в Україні»Указ Президента України "Про Державні програми інформування громадськості з питань європейської та євроатлантичної  інтеграції України на 2004-2007 роки".</t>
  </si>
  <si>
    <t>1 р. на тиждень
01.03-30.04 та з 01.06-15.09)</t>
  </si>
  <si>
    <t>Зірки українського спорту</t>
  </si>
  <si>
    <t>Портрети та нариси</t>
  </si>
  <si>
    <t>Указ Президента України від 01.09.98 №963 "Про затвердження Цільової комплексної програми. Фізичне виховання-здоров"я нації", Постанови Кабінету Міністрів України від 26.04.03№651"Про затвердження Державної програми "Тренер"на 2003-2008 роки.</t>
  </si>
  <si>
    <t>Футбол ЛЧ. Тижневий огляд</t>
  </si>
  <si>
    <t>Тижневий огляд футбольних матчів ЛЧ</t>
  </si>
  <si>
    <t>Указ Президента України від 01.09.98  № 963  “Про затвердження Цільової комплексної програми “Фізичне виховання  - здоров’я нації” Постанова Кабінету Міністрів України від 26.04.03 № 651 "Про затвердження Державної програми “Тренер” на 2003-2008 роки".</t>
  </si>
  <si>
    <t>Футбол ЛЧ. Огляд</t>
  </si>
  <si>
    <t>Огляд футбольних матчів ЛЧ</t>
  </si>
  <si>
    <t>Трансляція найпрестижніших міжнародних змагань за участю українських спортсменів, найбільш значимих спортивних подій національного масштабу</t>
  </si>
  <si>
    <t>Трансляція футбольних матчів в межах відбіркових турів до  УЄФА 2008, УЄФА 2009, Чемпіонату України, Ліги Чемпіонів.
Трансляції  Чемпіонатів  Європи  та Світу, Європейських ігр з різних видів спорту.</t>
  </si>
  <si>
    <t xml:space="preserve">Державна програма “Тренер” на 2003-2008 роки ,Доручення Кабінету Міністрів України № 37724/1/1-05 від 29.07.05 До Указу Президента України  від 19.07.05  № 1113 «Про підготовку та участь спортсменів України в Олімпійських, Паралімпійських і Дефлімпійських  іграх, Всесвітніх Універсіадах, чемпіонатах світу та Європи» ,Указ Президента України від 25.10.2003 р. №1216/2003 “Про державні стипендії призерам Олімпійських і Параолімпійських ігор, чемпіонам і призерам Дефолімпійських ігор”.  Доручення Кабінету Міністрів України від 23.03.05 № 459/8 до постанови Кабінету Міністрів Українивід 13.07.04 № 904 "Про схвалення Комплексної програми футболу на 2004-2008 роки".  </t>
  </si>
  <si>
    <t>Тележурнали, документальні програми CFI, ЄВU про спорт</t>
  </si>
  <si>
    <t>Історія і сьогодення Олімпійського руху, герої спорту.</t>
  </si>
  <si>
    <t xml:space="preserve">Указ Президента України від 27.04.1999р. № 456 “Про заходи щодо розвитку духовності, захисту моралі та формування здорового способу життя громадян”,Разові угоди з EBU, іншими міжнародними телеорганізаціями.
</t>
  </si>
  <si>
    <t>не было учтено в формуле</t>
  </si>
  <si>
    <t>Документальні фільми</t>
  </si>
  <si>
    <t>Про хід підготовки та проведення в Україні фінальної частини ЧЄ  2012 року з футболу.</t>
  </si>
  <si>
    <t>Розпорядження Кабінету Міністрів України від 11.07.07 № 502-р.</t>
  </si>
  <si>
    <t>Планета в кадрі</t>
  </si>
  <si>
    <t>Правова програма
 про актуальні соціальні проблеми, обговорення в студії з компетентними гостями</t>
  </si>
  <si>
    <t>Указ Президента України "Про Державні програми інформування громадськості з питань європейської та євроатлантичної  інтеграції України на 2004-2007 роки"Розпорядження Кабінету Міністрів України від 17.06. 04 № 395 “Деякі питання забезпечення виконання Державної програми інформування громадськості з питань євроатлантичної інтеграції України на 2004-2007 роки.</t>
  </si>
  <si>
    <t>5р/тижд</t>
  </si>
  <si>
    <t>Прес-анонс</t>
  </si>
  <si>
    <t>Розширення всебічної і оперативної інформації телеглядачів про життя країни і світу</t>
  </si>
  <si>
    <t>Указ Президента України від 01.08.02 № 683 “Про додаткові заходи щодо забезпечення відкритості у діяльності органів державної влади”. Програма діяльності Кабінету Міністрів України. Закон України від 17.11.92 № 2790-XII «Про статус народного депутата України»Указ Президента України  від 15.11.05 № 1276 «Про забезпечення участі громадськості у формуванні та реалізації державної політики».Розпорядження Кабінету Міністрів України від 03.08.06 № 460 «Про поліпшення інформування про суспільні процеси в Україні»</t>
  </si>
  <si>
    <t>7</t>
  </si>
  <si>
    <t>5р.на
тиждень</t>
  </si>
  <si>
    <t>5р.на
тиждень
(з 4.12)</t>
  </si>
  <si>
    <t>Дебати на першому</t>
  </si>
  <si>
    <t>Обговорення передвиборчих програм</t>
  </si>
  <si>
    <t>Закон України  від 25.03.04 № 1665-IV "Про вибори народних депутатів України".Указ Президента України  від 15.11.05 № 1276 «Про забезпечення участі громадськості у формуванні та реалізації державної політики».  Постанова Центральної виборчої комісії від 11.08.2007 №96 "Про порядок надання ефірного часу та друкованих площ для проведення передвиборчої агітації політичними партіями та блоками"</t>
  </si>
  <si>
    <t>Вибори 2007. Підсумки на Першому</t>
  </si>
  <si>
    <t>Підсумкова програма про вибори</t>
  </si>
  <si>
    <t>Закон України  від 25.03.04 № 1665-IV "Про вибори народних депутатів України". Постанова Центральної виборчої комісії від 11.08.2007 №96 "Про порядок надання ефірного часу та друкованих площ для проведення передвиборчої агітації політичними партіями та блоками"</t>
  </si>
  <si>
    <t>Один за всіх</t>
  </si>
  <si>
    <t>Соціально-політичне ток-шоу. Дискусійний майданчик у прямому ефірі для представників різних політичних сил та пересічних громадян України</t>
  </si>
  <si>
    <t>Програма діяльності Кабінету Міністрів України. Доручення Кабінету Міністрів України від 17.11.06 № 45637/4/1-06  до доручення Прем’єр-міністра України від 14.11.06 № 45637/3/1-06 та до листа Голови Верховної Ради України від 13.11.06 3 01-2/184 Закон України від 17.11.92 № 2790-XII «Про статус народного депутата України»Указ Президента України  від 15.11.05 № 1276 «Про забезпечення участі громадськості у формуванні та реалізації державної політики»Розпорядження Кабінету Міністрів України від 01.08.06 № 445 «Про затвердження плану заходів щодо розвитку соціального діалогу в Україні»</t>
  </si>
  <si>
    <t>1 р. на тиждень
(з 14.05)</t>
  </si>
  <si>
    <t>3</t>
  </si>
  <si>
    <t xml:space="preserve">Докуметнальні фільми </t>
  </si>
  <si>
    <t>Наука, цивілізація, культура</t>
  </si>
  <si>
    <t xml:space="preserve">Закон України від 03.03.05 № 2460-IV "Про концепцію державної політики в галузі культури на 2005-2007 роки" </t>
  </si>
  <si>
    <t>Право на землю</t>
  </si>
  <si>
    <t>Правова програма 
про розпаювання землі та права власності на землю</t>
  </si>
  <si>
    <t xml:space="preserve">Указ Президента України від 24.11.05 № 1648 "Про рішення Ради національної безпеки і оборони України від 29.06.05  "Про заходи щодо поліпшення інвестиційного клімату в Україні" та від 28.10.05  "Про заходи щодо утвердження гарантій та підвищення ефективності захисту права власності в Україні" </t>
  </si>
  <si>
    <t>Оперативна частина</t>
  </si>
  <si>
    <t>Програма про діяльність міліції</t>
  </si>
  <si>
    <t>Доручення КМУ № 37719/1/1-05 від 25.07.05р. до Указу Президента України від 19.07.05р. № 1119 «Про заходи щодо забезпечення особистої безпеки громадян та протидії злочинності»</t>
  </si>
  <si>
    <t>1 р. на тижд. 
(з 20.07.)</t>
  </si>
  <si>
    <t>Відкриття сесії ВР
України</t>
  </si>
  <si>
    <t>Трансляція</t>
  </si>
  <si>
    <t>Постанова Верховної Ради України " Про порядок висвітлення роботи Верховної Ради України п"ятого скликання від 27.07.2006 №40-V.</t>
  </si>
  <si>
    <t>2р. на рік</t>
  </si>
  <si>
    <t>Закриття сесії ВР
України</t>
  </si>
  <si>
    <t>День Уряду</t>
  </si>
  <si>
    <t>Парламентські слухання</t>
  </si>
  <si>
    <t>1р. на 2 місяці</t>
  </si>
  <si>
    <t>Телевізійна служба розшуку дітей</t>
  </si>
  <si>
    <t>Пошук дітей, що зникли, допомога охоронним органам</t>
  </si>
  <si>
    <t xml:space="preserve">Розпорядження КМУ від 28.02.2001 р. №67-р “Про заходи щодо забезпечення реалізації Указу Президента України від 25.12.2000 р. №1376 “Про Комплексну програму профілактики злочинності на 2001 – 2005 роки”, Постанова Кабінету Міністрів України </t>
  </si>
  <si>
    <t>2р. щодня</t>
  </si>
  <si>
    <t>в середньому 2р. на день з перервами</t>
  </si>
  <si>
    <t>Милосердя</t>
  </si>
  <si>
    <t xml:space="preserve">Програма про інвалідів та благодійність </t>
  </si>
  <si>
    <t xml:space="preserve">Розпорядження Кабінету Міністрів України від 03.11.05 № 444  «Про затвердження плану додаткових заходів щодо створення сприятливих умов життєдіяльності осіб з обмеженими фізичними можливостями» </t>
  </si>
  <si>
    <t>2р./міс</t>
  </si>
  <si>
    <t>Ситуація</t>
  </si>
  <si>
    <t>Щоденний огляд надзвичайних подій в Україні</t>
  </si>
  <si>
    <t>5р. на тиждень</t>
  </si>
  <si>
    <t>5р. на тиждень
5р.на день</t>
  </si>
  <si>
    <t>згідно сітки</t>
  </si>
  <si>
    <t>Нова армія</t>
  </si>
  <si>
    <t>Програма на військово-патріотичну тематику</t>
  </si>
  <si>
    <t>Указ Президента України від 25 жовтня 2002р. №948/2002  ”Про Концепцію допризовної підготовки і військово-патріотичного виховання молоді”.</t>
  </si>
  <si>
    <t>Територія безпеки</t>
  </si>
  <si>
    <t>Програма про аспекти співробітництва України з НАТО</t>
  </si>
  <si>
    <t>Державна програма інформування громадськості з питань євроатлантичної інтеграції України на 2004-2007 роки, Розпорядження КМУ від 17 червня 2004 року №395-р “Деякі питання забезпечення виконання Державної програми інформування громадськості з питань ЄС.</t>
  </si>
  <si>
    <t>1р. на тиждень
(лютий-червень)</t>
  </si>
  <si>
    <t>Кордон</t>
  </si>
  <si>
    <t>Про службу прикордоннків, про нові методи спостереження за затримання порушників держ.кордону</t>
  </si>
  <si>
    <t xml:space="preserve">Комплексна програма діяльності з припинення незаконного вилову риби іноземними суднами у територіальному морі та виключній екологічній зоні України на 2002-2006р.р., Указ Президента України  від 17.04.02 №348/2002 </t>
  </si>
  <si>
    <t>2 р. на місяць</t>
  </si>
  <si>
    <t>Громадська варта</t>
  </si>
  <si>
    <t>Журналістське розслідування</t>
  </si>
  <si>
    <t>Указ Президента України від 01.08.02 № 683 “Про додаткові заходи щодо забезпечення відкритості у діяльності органів державної влади”.Програма діяльності Кабінету Міністрів УкраїниЗакон України від 17.11.92 № 2790-XII «Про статус народного депутата України»</t>
  </si>
  <si>
    <t>Зелений коридор</t>
  </si>
  <si>
    <t>Про роботу митної служби України</t>
  </si>
  <si>
    <t>Народна служба порятунку</t>
  </si>
  <si>
    <t>Про діяльність Міністерства  з надзвичайних ситуацій</t>
  </si>
  <si>
    <t>Програма діяльності Кабінету Міністрів України,Указ Президента України від 01.08.2002р. № 683/2002 “Про додаткові заходи щодо забезпечення відкритості у діяльності органів державної влади”.Указ Президента України від 22.02.01 №108/2001</t>
  </si>
  <si>
    <t xml:space="preserve"> Толстих сказав,що вийде зтравня</t>
  </si>
  <si>
    <t>Національне
 бюро розслідування</t>
  </si>
  <si>
    <t xml:space="preserve">Розслідування економічних злочинів </t>
  </si>
  <si>
    <t>Указ Президента України  від 15.11.05 № 1276 «Про забезпечення участі громадськості у формуванні та реалізації державної політики»Постанова Кабінету Міністрів України від 29.08.2002р. № 1302 “Про заходи щодо подальшого забезпечення відкритості у діяльності органів виконавчої влади”Розпорядження Кабінету Міністрів України від 03.08.06 № 460 «Про поліпшення інформування про суспільні процеси в Україні»</t>
  </si>
  <si>
    <t>Я українець</t>
  </si>
  <si>
    <t xml:space="preserve">Прграма патріотичного спрямування </t>
  </si>
  <si>
    <t>Указ Президента України від 29.03.01 № 221 “Про додаткові заходи щодо реалізації державної молодіжної політики”</t>
  </si>
  <si>
    <t>Той хто рятував життя…</t>
  </si>
  <si>
    <t>Вечір вшанування
 пам'яті О.О. Шалімова</t>
  </si>
  <si>
    <t xml:space="preserve">Розпорядження Кабінету Міністрів України від 10.07.06 № 393 «Про схвалення Концепції Загальнодержавної програми боротьби з онкологічними захворюваннями на 2007-2016 роки». Постанова Кабінету Міністрів України від 09.08.01 № 960 “Про затвердження заходів щодо виконання Концепції розвитку охорони здоров’я населення України”
</t>
  </si>
  <si>
    <t>1 показ з повтором</t>
  </si>
  <si>
    <t>ліц.
дог №24</t>
  </si>
  <si>
    <t>отримала
17.04.2007</t>
  </si>
  <si>
    <t xml:space="preserve">Незручна тема </t>
  </si>
  <si>
    <t>Висвітлення гендерної проблематики в контексті загальних соціально-політичних подій</t>
  </si>
  <si>
    <t>Доручення Кабінету Міністрів України  від 16.07.04  № 30221/1/1-04 до Постанови Верховної Ради України від 28.06.04  № 1904-IV “Про рекомендації парламентських слухань “Становище жінок в Україні: реалії та перспективи”</t>
  </si>
  <si>
    <t>1р/тижд. З повтором</t>
  </si>
  <si>
    <t>ліц.
дог №260-24</t>
  </si>
  <si>
    <t>з 21 квітня</t>
  </si>
  <si>
    <t>1р/тижд. З повтором
(квіт.-черв.)</t>
  </si>
  <si>
    <t>Правила незалежного оцінювання</t>
  </si>
  <si>
    <t>Корисні поради</t>
  </si>
  <si>
    <t>Яхтинг</t>
  </si>
  <si>
    <t>Спортивна програма</t>
  </si>
  <si>
    <t>Указ Президента України від 02.08.06 № 667 «Про національний план дій щодо реалізації державної політики у сфері фізичної культури і спорту» на період 2007-2010 роки</t>
  </si>
  <si>
    <t>Цикл д/ф "Відкрита зона"</t>
  </si>
  <si>
    <t>Журналістські розслідування</t>
  </si>
  <si>
    <t>Повторний показ</t>
  </si>
  <si>
    <t>Всього:</t>
  </si>
  <si>
    <t>Культурно-мистецькі передачі</t>
  </si>
  <si>
    <t>2</t>
  </si>
  <si>
    <t>"Кіно.ua"</t>
  </si>
  <si>
    <t>Огляд вітчизняного кіноринку</t>
  </si>
  <si>
    <t xml:space="preserve"> Постанова Кабінету Міністрів України від 23.12.04 № 1732 "Про затвердження Державної програми охорони та збереження нематеріальної культурної спадщини на 2004-2008 роки"Указ Президента України від 15.03.02 № 258 “Про невідкладні додаткові заходи щодо зміцнення моральності у суспільстві та утвердження здорового способу  життя”Указ Президента України від 29.03.01 № 221 “Про додаткові заходи щодо реалізації державної молодіжної політики”Розпорядження Кабінету Міністрів України від 07.03.06 № 126 «Про затвердження плану заходів на 2006-2007 роки щодо реалізації Концепції державної політики в галузі культури»Доручення Кабінету Міністрів України від 21.10.2006 р. №39132/1/1-06 до Указу Президента України від 14.10.2006 р. №879 «Про всебічне вивчення та об’єктивне висвітлення діяльності українського визвольного руху та сприяння процесу національного примирення» </t>
  </si>
  <si>
    <t>1 р. на тижд. 
(з березня)</t>
  </si>
  <si>
    <t>4</t>
  </si>
  <si>
    <t>Телеверсії концертних програм творчих вечорів</t>
  </si>
  <si>
    <t>Концерти класичної музики,  значних музичних і мистецьких подій, що відбуваються в Україні.</t>
  </si>
  <si>
    <t>Розпорядження Кабінету Міністрів України від 07.03.06 № 126 «Про затвердження плану заходів на 2006-2007 роки щодо реалізації Концепції державної політики в галузі культури»</t>
  </si>
  <si>
    <t>Святкові релігійні
 богослужіння</t>
  </si>
  <si>
    <t>Пряма трансляція з храмів м. Києва на Різдво, Великдень, Святу Трійцю</t>
  </si>
  <si>
    <t>Указ Президента України від 08.12.06 № 1050 «Про проведення новорічних і різдвяних свят»Розпорядження Президента України від 23.09.05 № 1172 «Про заходи щодо реалізації державної політики у сфері міжнаціональних відносин, релігій і церкви», доручення Кабінету Міністрів України  № 49196/1/1-05 від 30.09.05; Указ Президента України від 21.03.02р. № 279 «Про невідкладні заходи щодо остаточного подолання негативних наслідків тоталітарної політики колишнього Союзу РСР стосовно релігії та відновлення порушених прав церков і релігійних організацій»</t>
  </si>
  <si>
    <t>Кінофестиваль
"Відкрита ніч-11"</t>
  </si>
  <si>
    <t>Трансляція з фестивалю українських документальних фільмів.</t>
  </si>
  <si>
    <t>Закон України від 03.03.05 № 2460-ІУ "Про концепцію державної політики в галузі культури на 2005-2007 роки".</t>
  </si>
  <si>
    <t>Музичні відефільми</t>
  </si>
  <si>
    <t>День Росії в Україні</t>
  </si>
  <si>
    <t>Святкова трансляція</t>
  </si>
  <si>
    <t xml:space="preserve">Спадщина
</t>
  </si>
  <si>
    <t>Цикл документальних фільмів про музеї та духовну і культурну спадщину, історичне минуле України</t>
  </si>
  <si>
    <t xml:space="preserve">Розпорядження Кабінету Міністрів України від 
07.03.06 № 126 «Про затвердження плану заходів на 2006-2007 роки щодо реалізації Концепції державної політики в галузі культури»Указ Президента України від 15.03.02 № 258 </t>
  </si>
  <si>
    <t>1 раз на місяць</t>
  </si>
  <si>
    <t>Портрети діячів куьтури, акторів, поетів</t>
  </si>
  <si>
    <t>Експерти дозвілля</t>
  </si>
  <si>
    <t>Афіша визначних культурних подій</t>
  </si>
  <si>
    <t>1р. на тижд.
(з листоп.)</t>
  </si>
  <si>
    <t>Шедеври світового мистецтва CFI</t>
  </si>
  <si>
    <t>Культурно-мистецькі програми адаптовані для України</t>
  </si>
  <si>
    <t>Концерт до
 Дня Хрещення Русі</t>
  </si>
  <si>
    <t xml:space="preserve"> Закон України від 03.03.05 № 2460-ІУ "Про концепцію державної політики в галузі культури на 2005-2007 роки".</t>
  </si>
  <si>
    <t>Хрещення Русі</t>
  </si>
  <si>
    <t>Цикл передач про Хрещення Русі</t>
  </si>
  <si>
    <t>Гра в бісер</t>
  </si>
  <si>
    <t>Культурні досягнення майстрів України</t>
  </si>
  <si>
    <t xml:space="preserve">Постанова Кабінету Міністрів України від 23.12.04 № 1732 
"Про затвердження Державної програми охорони та збереження нематеріальної культурної спадщини на 2004-2008 роки"Закон України від 03.03.05 № 2460-IV "Про концепцію державної політики в галузі культури на 2005-2007 роки" </t>
  </si>
  <si>
    <t>1р. на тижд. 
(січень-липень)</t>
  </si>
  <si>
    <t>"613"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</si>
</sst>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h\,mm"/>
    <numFmt numFmtId="186" formatCode="0.00000"/>
    <numFmt numFmtId="187" formatCode="0.0000"/>
    <numFmt numFmtId="188" formatCode="0.0000000"/>
    <numFmt numFmtId="189" formatCode="0.00000000"/>
    <numFmt numFmtId="190" formatCode="0.000000"/>
    <numFmt numFmtId="191" formatCode="[h]\,mm\,ss"/>
    <numFmt numFmtId="192" formatCode="mmm/yyyy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_-* #,##0.00\ _г_р_н_._-;\-* #,##0.00\ _г_р_н_._-;_-* &quot;-&quot;??\ _г_р_н_._-;_-@_-"/>
    <numFmt numFmtId="201" formatCode="h\,mm\,ss"/>
    <numFmt numFmtId="202" formatCode="0.000000000"/>
    <numFmt numFmtId="203" formatCode="0;[Red]0"/>
    <numFmt numFmtId="204" formatCode="[$-422]d\ mmmm\ yyyy&quot; р.&quot;"/>
    <numFmt numFmtId="205" formatCode="#,##0\ _г_р_н_."/>
    <numFmt numFmtId="206" formatCode="[$-F400]h\,mm\,ss\ AM/PM"/>
    <numFmt numFmtId="207" formatCode="mm\,ss.0"/>
    <numFmt numFmtId="208" formatCode="0.0%"/>
    <numFmt numFmtId="209" formatCode="dd/mm/yy\ h\,mm"/>
    <numFmt numFmtId="210" formatCode="dd/mm/yy\ h\,mm\ AM/PM"/>
    <numFmt numFmtId="211" formatCode="[$-FC19]d\ mmmm\ yyyy\ &quot;г.&quot;"/>
    <numFmt numFmtId="212" formatCode="dd/mm/yy;@"/>
    <numFmt numFmtId="213" formatCode="[h]:mm:ss;@"/>
    <numFmt numFmtId="214" formatCode="dd/mm/yy"/>
    <numFmt numFmtId="215" formatCode="#,##0\ &quot;грн.&quot;"/>
    <numFmt numFmtId="216" formatCode="h:mm:ss;@"/>
    <numFmt numFmtId="217" formatCode="hh:mm:ss;@"/>
    <numFmt numFmtId="218" formatCode="000000"/>
    <numFmt numFmtId="219" formatCode="#,##0.00_ ;[Red]\-#,##0.00\ "/>
    <numFmt numFmtId="220" formatCode="[h]\,mm\,ss;@"/>
    <numFmt numFmtId="221" formatCode="0.0000000000"/>
    <numFmt numFmtId="222" formatCode="dd/mm/yyyy\ h\,mm"/>
    <numFmt numFmtId="223" formatCode="[$€-2]\ ###,000_);[Red]\([$€-2]\ ###,000\)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47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color indexed="10"/>
      <name val="Times New Roman"/>
      <family val="1"/>
    </font>
    <font>
      <sz val="9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i/>
      <sz val="9"/>
      <name val="Arial"/>
      <family val="2"/>
    </font>
    <font>
      <i/>
      <sz val="9"/>
      <color indexed="10"/>
      <name val="Arial"/>
      <family val="2"/>
    </font>
    <font>
      <i/>
      <sz val="9"/>
      <color indexed="10"/>
      <name val="Times New Roman"/>
      <family val="1"/>
    </font>
    <font>
      <b/>
      <sz val="9"/>
      <name val="Arial"/>
      <family val="2"/>
    </font>
    <font>
      <b/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Times New Roman"/>
      <family val="1"/>
    </font>
    <font>
      <i/>
      <sz val="11"/>
      <color indexed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indexed="10"/>
      <name val="Times New Roman"/>
      <family val="1"/>
    </font>
    <font>
      <b/>
      <i/>
      <sz val="9"/>
      <name val="Times New Roman"/>
      <family val="1"/>
    </font>
    <font>
      <b/>
      <sz val="10"/>
      <name val="Arial Cyr"/>
      <family val="0"/>
    </font>
    <font>
      <b/>
      <sz val="11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 Cyr"/>
      <family val="0"/>
    </font>
    <font>
      <sz val="9"/>
      <name val="Arial Cyr"/>
      <family val="0"/>
    </font>
    <font>
      <b/>
      <i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83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83" fontId="7" fillId="0" borderId="0" xfId="0" applyNumberFormat="1" applyFont="1" applyFill="1" applyAlignment="1">
      <alignment horizontal="center"/>
    </xf>
    <xf numFmtId="183" fontId="4" fillId="0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4" borderId="0" xfId="0" applyFont="1" applyFill="1" applyAlignment="1">
      <alignment/>
    </xf>
    <xf numFmtId="2" fontId="4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83" fontId="4" fillId="0" borderId="0" xfId="0" applyNumberFormat="1" applyFont="1" applyBorder="1" applyAlignment="1">
      <alignment horizontal="center"/>
    </xf>
    <xf numFmtId="183" fontId="4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3" fontId="7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" fontId="7" fillId="0" borderId="0" xfId="0" applyNumberFormat="1" applyFont="1" applyFill="1" applyAlignment="1">
      <alignment/>
    </xf>
    <xf numFmtId="183" fontId="4" fillId="0" borderId="0" xfId="0" applyNumberFormat="1" applyFont="1" applyFill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83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4" borderId="1" xfId="0" applyFont="1" applyFill="1" applyBorder="1" applyAlignment="1">
      <alignment/>
    </xf>
    <xf numFmtId="2" fontId="4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183" fontId="7" fillId="0" borderId="1" xfId="0" applyNumberFormat="1" applyFont="1" applyBorder="1" applyAlignment="1">
      <alignment/>
    </xf>
    <xf numFmtId="183" fontId="4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1" fontId="7" fillId="0" borderId="1" xfId="0" applyNumberFormat="1" applyFont="1" applyFill="1" applyBorder="1" applyAlignment="1">
      <alignment/>
    </xf>
    <xf numFmtId="183" fontId="4" fillId="0" borderId="1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/>
    </xf>
    <xf numFmtId="0" fontId="11" fillId="0" borderId="1" xfId="0" applyFont="1" applyBorder="1" applyAlignment="1">
      <alignment/>
    </xf>
    <xf numFmtId="2" fontId="11" fillId="0" borderId="1" xfId="0" applyNumberFormat="1" applyFont="1" applyBorder="1" applyAlignment="1">
      <alignment/>
    </xf>
    <xf numFmtId="183" fontId="7" fillId="0" borderId="1" xfId="0" applyNumberFormat="1" applyFont="1" applyBorder="1" applyAlignment="1">
      <alignment horizontal="center" vertical="center" wrapText="1"/>
    </xf>
    <xf numFmtId="183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83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5" borderId="0" xfId="0" applyFont="1" applyFill="1" applyAlignment="1">
      <alignment/>
    </xf>
    <xf numFmtId="0" fontId="15" fillId="0" borderId="0" xfId="0" applyFont="1" applyAlignment="1">
      <alignment/>
    </xf>
    <xf numFmtId="0" fontId="11" fillId="6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4" borderId="0" xfId="0" applyFont="1" applyFill="1" applyAlignment="1">
      <alignment/>
    </xf>
    <xf numFmtId="0" fontId="11" fillId="7" borderId="0" xfId="0" applyFont="1" applyFill="1" applyAlignment="1">
      <alignment/>
    </xf>
    <xf numFmtId="0" fontId="11" fillId="8" borderId="0" xfId="0" applyFont="1" applyFill="1" applyAlignment="1">
      <alignment/>
    </xf>
    <xf numFmtId="0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183" fontId="11" fillId="0" borderId="1" xfId="0" applyNumberFormat="1" applyFont="1" applyBorder="1" applyAlignment="1">
      <alignment horizontal="center" vertical="center" wrapText="1"/>
    </xf>
    <xf numFmtId="183" fontId="11" fillId="0" borderId="1" xfId="0" applyNumberFormat="1" applyFont="1" applyFill="1" applyBorder="1" applyAlignment="1">
      <alignment horizontal="center" vertical="center" wrapText="1"/>
    </xf>
    <xf numFmtId="183" fontId="8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vertical="center" wrapText="1"/>
    </xf>
    <xf numFmtId="0" fontId="11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83" fontId="11" fillId="0" borderId="0" xfId="0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11" fillId="6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5" fillId="4" borderId="0" xfId="0" applyFont="1" applyFill="1" applyAlignment="1">
      <alignment vertical="center" wrapText="1"/>
    </xf>
    <xf numFmtId="0" fontId="11" fillId="7" borderId="0" xfId="0" applyFont="1" applyFill="1" applyAlignment="1">
      <alignment vertical="center" wrapText="1"/>
    </xf>
    <xf numFmtId="0" fontId="11" fillId="8" borderId="0" xfId="0" applyFont="1" applyFill="1" applyAlignment="1">
      <alignment vertical="center" wrapText="1"/>
    </xf>
    <xf numFmtId="21" fontId="11" fillId="0" borderId="0" xfId="0" applyNumberFormat="1" applyFont="1" applyAlignment="1">
      <alignment vertical="center" wrapText="1"/>
    </xf>
    <xf numFmtId="0" fontId="17" fillId="0" borderId="1" xfId="0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1" fontId="1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2" fontId="17" fillId="0" borderId="1" xfId="0" applyNumberFormat="1" applyFont="1" applyBorder="1" applyAlignment="1">
      <alignment vertical="center" wrapText="1"/>
    </xf>
    <xf numFmtId="183" fontId="17" fillId="0" borderId="1" xfId="0" applyNumberFormat="1" applyFont="1" applyBorder="1" applyAlignment="1">
      <alignment vertical="center" wrapText="1"/>
    </xf>
    <xf numFmtId="183" fontId="8" fillId="0" borderId="1" xfId="0" applyNumberFormat="1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5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17" fillId="6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17" fillId="7" borderId="0" xfId="0" applyFont="1" applyFill="1" applyAlignment="1">
      <alignment vertical="center" wrapText="1"/>
    </xf>
    <xf numFmtId="0" fontId="17" fillId="8" borderId="0" xfId="0" applyFont="1" applyFill="1" applyAlignment="1">
      <alignment vertical="center" wrapText="1"/>
    </xf>
    <xf numFmtId="21" fontId="17" fillId="0" borderId="0" xfId="0" applyNumberFormat="1" applyFont="1" applyAlignment="1">
      <alignment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1" fontId="17" fillId="0" borderId="9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2" fontId="17" fillId="0" borderId="0" xfId="0" applyNumberFormat="1" applyFont="1" applyFill="1" applyAlignment="1">
      <alignment vertical="center" wrapText="1"/>
    </xf>
    <xf numFmtId="2" fontId="4" fillId="0" borderId="9" xfId="0" applyNumberFormat="1" applyFont="1" applyFill="1" applyBorder="1" applyAlignment="1">
      <alignment vertical="center" wrapText="1"/>
    </xf>
    <xf numFmtId="183" fontId="7" fillId="0" borderId="9" xfId="0" applyNumberFormat="1" applyFont="1" applyFill="1" applyBorder="1" applyAlignment="1">
      <alignment vertical="center" wrapText="1"/>
    </xf>
    <xf numFmtId="183" fontId="20" fillId="0" borderId="9" xfId="0" applyNumberFormat="1" applyFont="1" applyFill="1" applyBorder="1" applyAlignment="1">
      <alignment vertical="center" wrapText="1"/>
    </xf>
    <xf numFmtId="1" fontId="7" fillId="0" borderId="9" xfId="0" applyNumberFormat="1" applyFont="1" applyFill="1" applyBorder="1" applyAlignment="1">
      <alignment vertical="center" wrapText="1"/>
    </xf>
    <xf numFmtId="183" fontId="8" fillId="0" borderId="9" xfId="0" applyNumberFormat="1" applyFont="1" applyFill="1" applyBorder="1" applyAlignment="1">
      <alignment vertical="center" wrapText="1"/>
    </xf>
    <xf numFmtId="183" fontId="17" fillId="0" borderId="9" xfId="0" applyNumberFormat="1" applyFont="1" applyFill="1" applyBorder="1" applyAlignment="1">
      <alignment vertical="center" wrapText="1"/>
    </xf>
    <xf numFmtId="183" fontId="17" fillId="0" borderId="13" xfId="0" applyNumberFormat="1" applyFont="1" applyFill="1" applyBorder="1" applyAlignment="1">
      <alignment vertical="center" wrapText="1"/>
    </xf>
    <xf numFmtId="183" fontId="8" fillId="0" borderId="9" xfId="0" applyNumberFormat="1" applyFont="1" applyFill="1" applyBorder="1" applyAlignment="1">
      <alignment horizontal="center" vertical="center" wrapText="1"/>
    </xf>
    <xf numFmtId="183" fontId="17" fillId="5" borderId="0" xfId="0" applyNumberFormat="1" applyFont="1" applyFill="1" applyAlignment="1">
      <alignment vertical="center" wrapText="1"/>
    </xf>
    <xf numFmtId="183" fontId="14" fillId="0" borderId="0" xfId="0" applyNumberFormat="1" applyFont="1" applyFill="1" applyAlignment="1">
      <alignment vertical="center" wrapText="1"/>
    </xf>
    <xf numFmtId="21" fontId="17" fillId="0" borderId="0" xfId="0" applyNumberFormat="1" applyFont="1" applyFill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83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83" fontId="8" fillId="0" borderId="1" xfId="0" applyNumberFormat="1" applyFont="1" applyFill="1" applyBorder="1" applyAlignment="1">
      <alignment horizontal="center" vertical="center" wrapText="1"/>
    </xf>
    <xf numFmtId="183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83" fontId="21" fillId="0" borderId="1" xfId="18" applyNumberFormat="1" applyFont="1" applyFill="1" applyBorder="1" applyAlignment="1">
      <alignment horizontal="center" vertical="center"/>
      <protection/>
    </xf>
    <xf numFmtId="183" fontId="21" fillId="3" borderId="1" xfId="18" applyNumberFormat="1" applyFont="1" applyFill="1" applyBorder="1" applyAlignment="1">
      <alignment horizontal="center" vertical="center"/>
      <protection/>
    </xf>
    <xf numFmtId="183" fontId="17" fillId="0" borderId="0" xfId="0" applyNumberFormat="1" applyFont="1" applyBorder="1" applyAlignment="1">
      <alignment vertical="center" wrapText="1"/>
    </xf>
    <xf numFmtId="0" fontId="17" fillId="4" borderId="0" xfId="0" applyFont="1" applyFill="1" applyAlignment="1">
      <alignment vertical="center" wrapText="1"/>
    </xf>
    <xf numFmtId="2" fontId="17" fillId="0" borderId="0" xfId="0" applyNumberFormat="1" applyFont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183" fontId="7" fillId="0" borderId="1" xfId="0" applyNumberFormat="1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83" fontId="7" fillId="0" borderId="1" xfId="0" applyNumberFormat="1" applyFont="1" applyFill="1" applyBorder="1" applyAlignment="1">
      <alignment vertical="center" wrapText="1"/>
    </xf>
    <xf numFmtId="183" fontId="17" fillId="0" borderId="1" xfId="0" applyNumberFormat="1" applyFont="1" applyFill="1" applyBorder="1" applyAlignment="1">
      <alignment vertical="center" wrapText="1"/>
    </xf>
    <xf numFmtId="183" fontId="17" fillId="0" borderId="6" xfId="0" applyNumberFormat="1" applyFont="1" applyFill="1" applyBorder="1" applyAlignment="1">
      <alignment vertical="center" wrapText="1"/>
    </xf>
    <xf numFmtId="220" fontId="17" fillId="0" borderId="0" xfId="0" applyNumberFormat="1" applyFont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183" fontId="20" fillId="0" borderId="15" xfId="0" applyNumberFormat="1" applyFont="1" applyBorder="1" applyAlignment="1">
      <alignment horizontal="left" vertical="center" wrapText="1"/>
    </xf>
    <xf numFmtId="183" fontId="20" fillId="0" borderId="9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83" fontId="20" fillId="0" borderId="1" xfId="0" applyNumberFormat="1" applyFont="1" applyBorder="1" applyAlignment="1">
      <alignment vertical="center" wrapText="1"/>
    </xf>
    <xf numFmtId="183" fontId="17" fillId="0" borderId="0" xfId="0" applyNumberFormat="1" applyFont="1" applyAlignment="1">
      <alignment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83" fontId="17" fillId="0" borderId="0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183" fontId="20" fillId="0" borderId="1" xfId="0" applyNumberFormat="1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183" fontId="17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220" fontId="17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83" fontId="22" fillId="0" borderId="1" xfId="0" applyNumberFormat="1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 vertical="center"/>
    </xf>
    <xf numFmtId="183" fontId="23" fillId="2" borderId="1" xfId="0" applyNumberFormat="1" applyFont="1" applyFill="1" applyBorder="1" applyAlignment="1">
      <alignment horizontal="center" vertical="center"/>
    </xf>
    <xf numFmtId="183" fontId="24" fillId="0" borderId="1" xfId="0" applyNumberFormat="1" applyFont="1" applyFill="1" applyBorder="1" applyAlignment="1">
      <alignment horizontal="center" vertical="center"/>
    </xf>
    <xf numFmtId="183" fontId="23" fillId="0" borderId="1" xfId="0" applyNumberFormat="1" applyFont="1" applyFill="1" applyBorder="1" applyAlignment="1">
      <alignment horizontal="center" vertical="center"/>
    </xf>
    <xf numFmtId="183" fontId="23" fillId="0" borderId="0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83" fontId="21" fillId="2" borderId="1" xfId="18" applyNumberFormat="1" applyFont="1" applyFill="1" applyBorder="1" applyAlignment="1">
      <alignment horizontal="center" vertical="center"/>
      <protection/>
    </xf>
    <xf numFmtId="49" fontId="17" fillId="0" borderId="16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/>
    </xf>
    <xf numFmtId="183" fontId="25" fillId="0" borderId="1" xfId="0" applyNumberFormat="1" applyFont="1" applyFill="1" applyBorder="1" applyAlignment="1">
      <alignment horizontal="center" vertical="center"/>
    </xf>
    <xf numFmtId="183" fontId="26" fillId="3" borderId="1" xfId="18" applyNumberFormat="1" applyFont="1" applyFill="1" applyBorder="1" applyAlignment="1">
      <alignment horizontal="center" vertical="center"/>
      <protection/>
    </xf>
    <xf numFmtId="183" fontId="26" fillId="3" borderId="1" xfId="0" applyNumberFormat="1" applyFont="1" applyFill="1" applyBorder="1" applyAlignment="1">
      <alignment horizontal="center" vertical="center"/>
    </xf>
    <xf numFmtId="183" fontId="14" fillId="4" borderId="0" xfId="0" applyNumberFormat="1" applyFont="1" applyFill="1" applyAlignment="1">
      <alignment vertical="center" wrapText="1"/>
    </xf>
    <xf numFmtId="183" fontId="0" fillId="2" borderId="1" xfId="0" applyNumberFormat="1" applyFont="1" applyFill="1" applyBorder="1" applyAlignment="1">
      <alignment horizontal="center" vertical="center"/>
    </xf>
    <xf numFmtId="14" fontId="17" fillId="4" borderId="0" xfId="0" applyNumberFormat="1" applyFont="1" applyFill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183" fontId="28" fillId="0" borderId="1" xfId="0" applyNumberFormat="1" applyFont="1" applyFill="1" applyBorder="1" applyAlignment="1">
      <alignment horizontal="center" vertical="center"/>
    </xf>
    <xf numFmtId="183" fontId="21" fillId="3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0" fillId="0" borderId="1" xfId="0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vertical="center"/>
    </xf>
    <xf numFmtId="1" fontId="0" fillId="0" borderId="16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85" fontId="0" fillId="0" borderId="1" xfId="0" applyNumberFormat="1" applyFont="1" applyFill="1" applyBorder="1" applyAlignment="1">
      <alignment horizontal="center" vertical="center"/>
    </xf>
    <xf numFmtId="183" fontId="24" fillId="0" borderId="1" xfId="0" applyNumberFormat="1" applyFont="1" applyFill="1" applyBorder="1" applyAlignment="1">
      <alignment horizontal="center" vertical="center" wrapText="1"/>
    </xf>
    <xf numFmtId="6" fontId="2" fillId="0" borderId="1" xfId="0" applyNumberFormat="1" applyFont="1" applyFill="1" applyBorder="1" applyAlignment="1">
      <alignment horizontal="center" wrapText="1"/>
    </xf>
    <xf numFmtId="183" fontId="0" fillId="0" borderId="1" xfId="0" applyNumberFormat="1" applyFont="1" applyFill="1" applyBorder="1" applyAlignment="1">
      <alignment horizontal="center"/>
    </xf>
    <xf numFmtId="183" fontId="22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185" fontId="0" fillId="0" borderId="0" xfId="0" applyNumberFormat="1" applyFont="1" applyFill="1" applyAlignment="1">
      <alignment vertical="center"/>
    </xf>
    <xf numFmtId="185" fontId="0" fillId="4" borderId="0" xfId="0" applyNumberFormat="1" applyFont="1" applyFill="1" applyAlignment="1">
      <alignment vertical="center"/>
    </xf>
    <xf numFmtId="183" fontId="22" fillId="0" borderId="1" xfId="0" applyNumberFormat="1" applyFont="1" applyFill="1" applyBorder="1" applyAlignment="1">
      <alignment vertical="center"/>
    </xf>
    <xf numFmtId="0" fontId="23" fillId="4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0" fillId="8" borderId="0" xfId="0" applyFont="1" applyFill="1" applyAlignment="1">
      <alignment vertical="center"/>
    </xf>
    <xf numFmtId="21" fontId="0" fillId="0" borderId="0" xfId="0" applyNumberFormat="1" applyFont="1" applyFill="1" applyAlignment="1">
      <alignment vertical="center"/>
    </xf>
    <xf numFmtId="49" fontId="5" fillId="9" borderId="1" xfId="0" applyNumberFormat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vertical="center"/>
    </xf>
    <xf numFmtId="49" fontId="17" fillId="0" borderId="16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183" fontId="29" fillId="0" borderId="1" xfId="0" applyNumberFormat="1" applyFont="1" applyFill="1" applyBorder="1" applyAlignment="1">
      <alignment horizontal="center" vertical="center"/>
    </xf>
    <xf numFmtId="183" fontId="22" fillId="0" borderId="1" xfId="0" applyNumberFormat="1" applyFont="1" applyFill="1" applyBorder="1" applyAlignment="1">
      <alignment horizontal="center" vertical="center" wrapText="1"/>
    </xf>
    <xf numFmtId="183" fontId="0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185" fontId="29" fillId="0" borderId="0" xfId="0" applyNumberFormat="1" applyFont="1" applyFill="1" applyAlignment="1">
      <alignment vertical="center"/>
    </xf>
    <xf numFmtId="185" fontId="29" fillId="4" borderId="0" xfId="0" applyNumberFormat="1" applyFont="1" applyFill="1" applyAlignment="1">
      <alignment vertical="center"/>
    </xf>
    <xf numFmtId="183" fontId="30" fillId="0" borderId="1" xfId="0" applyNumberFormat="1" applyFont="1" applyFill="1" applyBorder="1" applyAlignment="1">
      <alignment vertical="center"/>
    </xf>
    <xf numFmtId="0" fontId="31" fillId="4" borderId="0" xfId="0" applyFont="1" applyFill="1" applyAlignment="1">
      <alignment vertical="center"/>
    </xf>
    <xf numFmtId="0" fontId="29" fillId="7" borderId="0" xfId="0" applyFont="1" applyFill="1" applyAlignment="1">
      <alignment vertical="center"/>
    </xf>
    <xf numFmtId="0" fontId="29" fillId="8" borderId="0" xfId="0" applyFont="1" applyFill="1" applyAlignment="1">
      <alignment vertical="center"/>
    </xf>
    <xf numFmtId="21" fontId="29" fillId="0" borderId="0" xfId="0" applyNumberFormat="1" applyFont="1" applyFill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183" fontId="14" fillId="0" borderId="0" xfId="0" applyNumberFormat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/>
    </xf>
    <xf numFmtId="183" fontId="3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17" fillId="0" borderId="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vertical="center"/>
    </xf>
    <xf numFmtId="1" fontId="29" fillId="0" borderId="1" xfId="0" applyNumberFormat="1" applyFont="1" applyBorder="1" applyAlignment="1">
      <alignment vertical="center"/>
    </xf>
    <xf numFmtId="1" fontId="29" fillId="0" borderId="6" xfId="0" applyNumberFormat="1" applyFont="1" applyBorder="1" applyAlignment="1">
      <alignment vertical="center"/>
    </xf>
    <xf numFmtId="0" fontId="0" fillId="0" borderId="1" xfId="18" applyFont="1" applyFill="1" applyBorder="1" applyAlignment="1">
      <alignment horizontal="center" vertical="center" wrapText="1"/>
      <protection/>
    </xf>
    <xf numFmtId="185" fontId="33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185" fontId="29" fillId="0" borderId="4" xfId="0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183" fontId="34" fillId="0" borderId="1" xfId="0" applyNumberFormat="1" applyFont="1" applyBorder="1" applyAlignment="1">
      <alignment horizontal="center" vertical="center" wrapText="1"/>
    </xf>
    <xf numFmtId="183" fontId="29" fillId="0" borderId="1" xfId="0" applyNumberFormat="1" applyFont="1" applyBorder="1" applyAlignment="1">
      <alignment horizontal="center" vertical="center" wrapText="1"/>
    </xf>
    <xf numFmtId="183" fontId="29" fillId="0" borderId="1" xfId="0" applyNumberFormat="1" applyFont="1" applyFill="1" applyBorder="1" applyAlignment="1">
      <alignment horizontal="center" vertical="center" wrapText="1"/>
    </xf>
    <xf numFmtId="183" fontId="30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21" fontId="29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35" fillId="0" borderId="1" xfId="0" applyFont="1" applyFill="1" applyBorder="1" applyAlignment="1">
      <alignment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>
      <alignment horizontal="center" vertical="center" wrapText="1"/>
    </xf>
    <xf numFmtId="0" fontId="17" fillId="0" borderId="1" xfId="18" applyFont="1" applyFill="1" applyBorder="1" applyAlignment="1">
      <alignment horizontal="center" vertical="center" wrapText="1"/>
      <protection/>
    </xf>
    <xf numFmtId="0" fontId="35" fillId="0" borderId="1" xfId="0" applyFont="1" applyFill="1" applyBorder="1" applyAlignment="1">
      <alignment horizontal="center" vertical="center" wrapText="1"/>
    </xf>
    <xf numFmtId="183" fontId="35" fillId="0" borderId="1" xfId="0" applyNumberFormat="1" applyFont="1" applyFill="1" applyBorder="1" applyAlignment="1">
      <alignment horizontal="center" vertical="center" wrapText="1"/>
    </xf>
    <xf numFmtId="183" fontId="36" fillId="0" borderId="1" xfId="0" applyNumberFormat="1" applyFont="1" applyFill="1" applyBorder="1" applyAlignment="1">
      <alignment horizontal="center" vertical="center"/>
    </xf>
    <xf numFmtId="183" fontId="37" fillId="2" borderId="1" xfId="0" applyNumberFormat="1" applyFont="1" applyFill="1" applyBorder="1" applyAlignment="1">
      <alignment horizontal="center" vertical="center"/>
    </xf>
    <xf numFmtId="1" fontId="36" fillId="0" borderId="1" xfId="0" applyNumberFormat="1" applyFont="1" applyFill="1" applyBorder="1" applyAlignment="1">
      <alignment horizontal="center" vertical="center"/>
    </xf>
    <xf numFmtId="183" fontId="21" fillId="0" borderId="1" xfId="0" applyNumberFormat="1" applyFont="1" applyFill="1" applyBorder="1" applyAlignment="1">
      <alignment horizontal="center" vertical="center"/>
    </xf>
    <xf numFmtId="183" fontId="37" fillId="0" borderId="1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 wrapText="1"/>
    </xf>
    <xf numFmtId="183" fontId="38" fillId="0" borderId="0" xfId="0" applyNumberFormat="1" applyFont="1" applyFill="1" applyBorder="1" applyAlignment="1">
      <alignment horizontal="center" vertical="center" wrapText="1"/>
    </xf>
    <xf numFmtId="0" fontId="35" fillId="4" borderId="0" xfId="0" applyFont="1" applyFill="1" applyAlignment="1">
      <alignment vertical="center" wrapText="1"/>
    </xf>
    <xf numFmtId="183" fontId="6" fillId="0" borderId="1" xfId="0" applyNumberFormat="1" applyFont="1" applyFill="1" applyBorder="1" applyAlignment="1">
      <alignment vertical="center" wrapText="1"/>
    </xf>
    <xf numFmtId="0" fontId="38" fillId="4" borderId="0" xfId="0" applyFont="1" applyFill="1" applyAlignment="1">
      <alignment vertical="center" wrapText="1"/>
    </xf>
    <xf numFmtId="0" fontId="35" fillId="7" borderId="0" xfId="0" applyFont="1" applyFill="1" applyAlignment="1">
      <alignment vertical="center" wrapText="1"/>
    </xf>
    <xf numFmtId="0" fontId="35" fillId="8" borderId="0" xfId="0" applyFont="1" applyFill="1" applyAlignment="1">
      <alignment vertical="center" wrapText="1"/>
    </xf>
    <xf numFmtId="21" fontId="35" fillId="0" borderId="0" xfId="0" applyNumberFormat="1" applyFont="1" applyFill="1" applyAlignment="1">
      <alignment vertical="center" wrapText="1"/>
    </xf>
    <xf numFmtId="0" fontId="26" fillId="0" borderId="6" xfId="0" applyFont="1" applyFill="1" applyBorder="1" applyAlignment="1">
      <alignment vertical="center"/>
    </xf>
    <xf numFmtId="185" fontId="0" fillId="0" borderId="15" xfId="0" applyNumberFormat="1" applyFont="1" applyFill="1" applyBorder="1" applyAlignment="1">
      <alignment horizontal="center" vertical="center" wrapText="1"/>
    </xf>
    <xf numFmtId="185" fontId="33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185" fontId="29" fillId="0" borderId="15" xfId="0" applyNumberFormat="1" applyFont="1" applyFill="1" applyBorder="1" applyAlignment="1">
      <alignment horizontal="center" vertical="center"/>
    </xf>
    <xf numFmtId="1" fontId="29" fillId="0" borderId="15" xfId="0" applyNumberFormat="1" applyFont="1" applyFill="1" applyBorder="1" applyAlignment="1">
      <alignment horizontal="center" vertical="center"/>
    </xf>
    <xf numFmtId="183" fontId="29" fillId="0" borderId="15" xfId="0" applyNumberFormat="1" applyFont="1" applyFill="1" applyBorder="1" applyAlignment="1">
      <alignment horizontal="center" vertical="center" wrapText="1"/>
    </xf>
    <xf numFmtId="183" fontId="29" fillId="0" borderId="15" xfId="0" applyNumberFormat="1" applyFont="1" applyFill="1" applyBorder="1" applyAlignment="1">
      <alignment horizontal="center" vertical="center"/>
    </xf>
    <xf numFmtId="183" fontId="0" fillId="0" borderId="15" xfId="0" applyNumberFormat="1" applyFont="1" applyFill="1" applyBorder="1" applyAlignment="1">
      <alignment horizontal="center" vertical="center"/>
    </xf>
    <xf numFmtId="183" fontId="22" fillId="0" borderId="15" xfId="0" applyNumberFormat="1" applyFont="1" applyFill="1" applyBorder="1" applyAlignment="1">
      <alignment horizontal="center" vertical="center"/>
    </xf>
    <xf numFmtId="183" fontId="0" fillId="2" borderId="15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183" fontId="24" fillId="0" borderId="15" xfId="0" applyNumberFormat="1" applyFont="1" applyFill="1" applyBorder="1" applyAlignment="1">
      <alignment horizontal="center" vertical="center"/>
    </xf>
    <xf numFmtId="183" fontId="21" fillId="3" borderId="15" xfId="18" applyNumberFormat="1" applyFont="1" applyFill="1" applyBorder="1" applyAlignment="1">
      <alignment horizontal="center" vertical="center"/>
      <protection/>
    </xf>
    <xf numFmtId="183" fontId="17" fillId="0" borderId="15" xfId="0" applyNumberFormat="1" applyFont="1" applyFill="1" applyBorder="1" applyAlignment="1">
      <alignment horizontal="center" vertical="center" wrapText="1"/>
    </xf>
    <xf numFmtId="183" fontId="17" fillId="6" borderId="0" xfId="0" applyNumberFormat="1" applyFont="1" applyFill="1" applyAlignment="1">
      <alignment vertical="center" wrapText="1"/>
    </xf>
    <xf numFmtId="183" fontId="17" fillId="8" borderId="0" xfId="0" applyNumberFormat="1" applyFont="1" applyFill="1" applyAlignment="1">
      <alignment vertical="center" wrapText="1"/>
    </xf>
    <xf numFmtId="183" fontId="17" fillId="2" borderId="1" xfId="0" applyNumberFormat="1" applyFont="1" applyFill="1" applyBorder="1" applyAlignment="1">
      <alignment vertical="center" wrapText="1"/>
    </xf>
    <xf numFmtId="1" fontId="32" fillId="0" borderId="1" xfId="0" applyNumberFormat="1" applyFont="1" applyFill="1" applyBorder="1" applyAlignment="1">
      <alignment horizontal="center" vertical="center" wrapText="1"/>
    </xf>
    <xf numFmtId="183" fontId="9" fillId="0" borderId="1" xfId="0" applyNumberFormat="1" applyFont="1" applyFill="1" applyBorder="1" applyAlignment="1">
      <alignment horizontal="center" vertical="center" wrapText="1"/>
    </xf>
    <xf numFmtId="183" fontId="5" fillId="0" borderId="1" xfId="0" applyNumberFormat="1" applyFont="1" applyFill="1" applyBorder="1" applyAlignment="1">
      <alignment horizontal="center" vertical="center" wrapText="1"/>
    </xf>
    <xf numFmtId="183" fontId="20" fillId="0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9" fontId="32" fillId="0" borderId="1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/>
    </xf>
    <xf numFmtId="183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39" fillId="0" borderId="1" xfId="0" applyNumberFormat="1" applyFont="1" applyFill="1" applyBorder="1" applyAlignment="1">
      <alignment horizontal="center" vertical="center"/>
    </xf>
    <xf numFmtId="1" fontId="3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183" fontId="7" fillId="0" borderId="1" xfId="0" applyNumberFormat="1" applyFont="1" applyFill="1" applyBorder="1" applyAlignment="1">
      <alignment/>
    </xf>
    <xf numFmtId="0" fontId="4" fillId="7" borderId="0" xfId="0" applyFont="1" applyFill="1" applyAlignment="1">
      <alignment/>
    </xf>
    <xf numFmtId="21" fontId="4" fillId="0" borderId="0" xfId="0" applyNumberFormat="1" applyFont="1" applyAlignment="1">
      <alignment/>
    </xf>
    <xf numFmtId="0" fontId="41" fillId="9" borderId="1" xfId="0" applyFont="1" applyFill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top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32" fillId="0" borderId="16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3" fillId="4" borderId="0" xfId="0" applyFont="1" applyFill="1" applyAlignment="1">
      <alignment/>
    </xf>
    <xf numFmtId="0" fontId="4" fillId="0" borderId="1" xfId="0" applyFont="1" applyFill="1" applyBorder="1" applyAlignment="1">
      <alignment/>
    </xf>
    <xf numFmtId="21" fontId="4" fillId="0" borderId="0" xfId="0" applyNumberFormat="1" applyFont="1" applyFill="1" applyAlignment="1">
      <alignment/>
    </xf>
    <xf numFmtId="183" fontId="4" fillId="2" borderId="1" xfId="0" applyNumberFormat="1" applyFont="1" applyFill="1" applyBorder="1" applyAlignment="1">
      <alignment/>
    </xf>
    <xf numFmtId="183" fontId="9" fillId="0" borderId="1" xfId="0" applyNumberFormat="1" applyFont="1" applyFill="1" applyBorder="1" applyAlignment="1">
      <alignment horizontal="center" vertical="center"/>
    </xf>
    <xf numFmtId="183" fontId="8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wrapText="1"/>
    </xf>
    <xf numFmtId="1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" fontId="4" fillId="0" borderId="1" xfId="0" applyNumberFormat="1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6" fontId="4" fillId="0" borderId="0" xfId="0" applyNumberFormat="1" applyFont="1" applyFill="1" applyBorder="1" applyAlignment="1">
      <alignment/>
    </xf>
    <xf numFmtId="183" fontId="4" fillId="7" borderId="0" xfId="0" applyNumberFormat="1" applyFont="1" applyFill="1" applyAlignment="1">
      <alignment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8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3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4" borderId="0" xfId="0" applyFont="1" applyFill="1" applyAlignment="1">
      <alignment vertical="center" wrapText="1"/>
    </xf>
    <xf numFmtId="183" fontId="7" fillId="0" borderId="1" xfId="0" applyNumberFormat="1" applyFont="1" applyFill="1" applyBorder="1" applyAlignment="1">
      <alignment vertical="center" wrapText="1"/>
    </xf>
    <xf numFmtId="183" fontId="8" fillId="0" borderId="0" xfId="0" applyNumberFormat="1" applyFont="1" applyAlignment="1">
      <alignment vertical="center" wrapText="1"/>
    </xf>
    <xf numFmtId="183" fontId="8" fillId="7" borderId="0" xfId="0" applyNumberFormat="1" applyFont="1" applyFill="1" applyAlignment="1">
      <alignment vertical="center" wrapText="1"/>
    </xf>
    <xf numFmtId="0" fontId="8" fillId="8" borderId="0" xfId="0" applyFont="1" applyFill="1" applyAlignment="1">
      <alignment vertical="center" wrapText="1"/>
    </xf>
    <xf numFmtId="21" fontId="8" fillId="0" borderId="0" xfId="0" applyNumberFormat="1" applyFont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83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83" fontId="8" fillId="0" borderId="15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183" fontId="8" fillId="2" borderId="15" xfId="0" applyNumberFormat="1" applyFont="1" applyFill="1" applyBorder="1" applyAlignment="1">
      <alignment vertical="center" wrapText="1"/>
    </xf>
    <xf numFmtId="183" fontId="11" fillId="0" borderId="15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4" borderId="0" xfId="0" applyFont="1" applyFill="1" applyAlignment="1">
      <alignment vertical="center" wrapText="1"/>
    </xf>
    <xf numFmtId="2" fontId="4" fillId="0" borderId="15" xfId="0" applyNumberFormat="1" applyFont="1" applyBorder="1" applyAlignment="1">
      <alignment vertical="center" wrapText="1"/>
    </xf>
    <xf numFmtId="183" fontId="7" fillId="0" borderId="15" xfId="0" applyNumberFormat="1" applyFont="1" applyBorder="1" applyAlignment="1">
      <alignment vertical="center" wrapText="1"/>
    </xf>
    <xf numFmtId="183" fontId="20" fillId="0" borderId="15" xfId="0" applyNumberFormat="1" applyFont="1" applyBorder="1" applyAlignment="1">
      <alignment vertical="center" wrapText="1"/>
    </xf>
    <xf numFmtId="1" fontId="7" fillId="0" borderId="15" xfId="0" applyNumberFormat="1" applyFont="1" applyBorder="1" applyAlignment="1">
      <alignment vertical="center" wrapText="1"/>
    </xf>
    <xf numFmtId="183" fontId="7" fillId="0" borderId="15" xfId="0" applyNumberFormat="1" applyFont="1" applyFill="1" applyBorder="1" applyAlignment="1">
      <alignment vertical="center" wrapText="1"/>
    </xf>
    <xf numFmtId="183" fontId="8" fillId="0" borderId="15" xfId="0" applyNumberFormat="1" applyFont="1" applyFill="1" applyBorder="1" applyAlignment="1">
      <alignment vertical="center" wrapText="1"/>
    </xf>
    <xf numFmtId="183" fontId="8" fillId="0" borderId="10" xfId="0" applyNumberFormat="1" applyFont="1" applyFill="1" applyBorder="1" applyAlignment="1">
      <alignment vertical="center" wrapText="1"/>
    </xf>
    <xf numFmtId="183" fontId="8" fillId="0" borderId="1" xfId="0" applyNumberFormat="1" applyFont="1" applyBorder="1" applyAlignment="1">
      <alignment vertical="center" wrapText="1"/>
    </xf>
    <xf numFmtId="183" fontId="8" fillId="0" borderId="0" xfId="0" applyNumberFormat="1" applyFont="1" applyAlignment="1">
      <alignment vertical="center" wrapText="1"/>
    </xf>
    <xf numFmtId="183" fontId="8" fillId="3" borderId="0" xfId="0" applyNumberFormat="1" applyFont="1" applyFill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0" fontId="27" fillId="4" borderId="0" xfId="0" applyFont="1" applyFill="1" applyAlignment="1">
      <alignment vertical="center" wrapText="1"/>
    </xf>
    <xf numFmtId="21" fontId="8" fillId="0" borderId="0" xfId="0" applyNumberFormat="1" applyFont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183" fontId="17" fillId="0" borderId="9" xfId="0" applyNumberFormat="1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183" fontId="17" fillId="0" borderId="9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vertical="center" wrapText="1"/>
    </xf>
    <xf numFmtId="1" fontId="1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83" fontId="21" fillId="3" borderId="9" xfId="18" applyNumberFormat="1" applyFont="1" applyFill="1" applyBorder="1" applyAlignment="1">
      <alignment horizontal="center" vertical="center"/>
      <protection/>
    </xf>
    <xf numFmtId="2" fontId="4" fillId="0" borderId="9" xfId="0" applyNumberFormat="1" applyFont="1" applyBorder="1" applyAlignment="1">
      <alignment vertical="center" wrapText="1"/>
    </xf>
    <xf numFmtId="183" fontId="7" fillId="0" borderId="9" xfId="0" applyNumberFormat="1" applyFont="1" applyBorder="1" applyAlignment="1">
      <alignment vertical="center" wrapText="1"/>
    </xf>
    <xf numFmtId="183" fontId="20" fillId="0" borderId="9" xfId="0" applyNumberFormat="1" applyFont="1" applyBorder="1" applyAlignment="1">
      <alignment vertical="center" wrapText="1"/>
    </xf>
    <xf numFmtId="1" fontId="7" fillId="0" borderId="9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83" fontId="4" fillId="0" borderId="1" xfId="0" applyNumberFormat="1" applyFont="1" applyBorder="1" applyAlignment="1">
      <alignment horizontal="center" vertical="center" wrapText="1"/>
    </xf>
    <xf numFmtId="183" fontId="7" fillId="0" borderId="1" xfId="0" applyNumberFormat="1" applyFont="1" applyFill="1" applyBorder="1" applyAlignment="1">
      <alignment horizontal="center" vertical="center" wrapText="1"/>
    </xf>
    <xf numFmtId="18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3" fillId="4" borderId="0" xfId="0" applyFont="1" applyFill="1" applyAlignment="1">
      <alignment vertical="center" wrapText="1"/>
    </xf>
    <xf numFmtId="0" fontId="4" fillId="7" borderId="0" xfId="0" applyFont="1" applyFill="1" applyAlignment="1">
      <alignment vertical="center" wrapText="1"/>
    </xf>
    <xf numFmtId="0" fontId="4" fillId="8" borderId="0" xfId="0" applyFont="1" applyFill="1" applyAlignment="1">
      <alignment vertical="center" wrapText="1"/>
    </xf>
    <xf numFmtId="21" fontId="4" fillId="0" borderId="0" xfId="0" applyNumberFormat="1" applyFont="1" applyAlignment="1">
      <alignment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49" fontId="43" fillId="0" borderId="1" xfId="0" applyNumberFormat="1" applyFont="1" applyFill="1" applyBorder="1" applyAlignment="1">
      <alignment horizontal="center" vertical="center" wrapText="1"/>
    </xf>
    <xf numFmtId="49" fontId="43" fillId="0" borderId="16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183" fontId="43" fillId="0" borderId="1" xfId="0" applyNumberFormat="1" applyFont="1" applyFill="1" applyBorder="1" applyAlignment="1">
      <alignment horizontal="center" vertical="center" wrapText="1"/>
    </xf>
    <xf numFmtId="183" fontId="19" fillId="0" borderId="1" xfId="0" applyNumberFormat="1" applyFont="1" applyFill="1" applyBorder="1" applyAlignment="1">
      <alignment horizontal="center" vertical="center" wrapText="1"/>
    </xf>
    <xf numFmtId="183" fontId="44" fillId="0" borderId="1" xfId="0" applyNumberFormat="1" applyFont="1" applyFill="1" applyBorder="1" applyAlignment="1">
      <alignment horizontal="center" vertical="center"/>
    </xf>
    <xf numFmtId="1" fontId="45" fillId="0" borderId="1" xfId="0" applyNumberFormat="1" applyFont="1" applyFill="1" applyBorder="1" applyAlignment="1">
      <alignment horizontal="center" vertical="center"/>
    </xf>
    <xf numFmtId="183" fontId="46" fillId="0" borderId="1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 wrapText="1"/>
    </xf>
    <xf numFmtId="0" fontId="43" fillId="0" borderId="1" xfId="0" applyFont="1" applyFill="1" applyBorder="1" applyAlignment="1">
      <alignment vertical="center" wrapText="1"/>
    </xf>
    <xf numFmtId="0" fontId="47" fillId="4" borderId="0" xfId="0" applyFont="1" applyFill="1" applyAlignment="1">
      <alignment vertical="center" wrapText="1"/>
    </xf>
    <xf numFmtId="0" fontId="43" fillId="7" borderId="0" xfId="0" applyFont="1" applyFill="1" applyAlignment="1">
      <alignment vertical="center" wrapText="1"/>
    </xf>
    <xf numFmtId="0" fontId="43" fillId="8" borderId="0" xfId="0" applyFont="1" applyFill="1" applyAlignment="1">
      <alignment vertical="center" wrapText="1"/>
    </xf>
    <xf numFmtId="21" fontId="43" fillId="0" borderId="0" xfId="0" applyNumberFormat="1" applyFont="1" applyFill="1" applyAlignment="1">
      <alignment vertical="center" wrapText="1"/>
    </xf>
    <xf numFmtId="0" fontId="35" fillId="0" borderId="0" xfId="0" applyFont="1" applyAlignment="1">
      <alignment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185" fontId="24" fillId="0" borderId="1" xfId="18" applyNumberFormat="1" applyFont="1" applyFill="1" applyBorder="1" applyAlignment="1">
      <alignment horizontal="center" vertical="center"/>
      <protection/>
    </xf>
    <xf numFmtId="0" fontId="4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center" vertical="center" wrapText="1"/>
    </xf>
    <xf numFmtId="183" fontId="35" fillId="0" borderId="1" xfId="0" applyNumberFormat="1" applyFont="1" applyBorder="1" applyAlignment="1">
      <alignment horizontal="center" vertical="center" wrapText="1"/>
    </xf>
    <xf numFmtId="183" fontId="48" fillId="0" borderId="1" xfId="0" applyNumberFormat="1" applyFont="1" applyFill="1" applyBorder="1" applyAlignment="1">
      <alignment horizontal="center" vertical="center" wrapText="1"/>
    </xf>
    <xf numFmtId="183" fontId="39" fillId="0" borderId="1" xfId="0" applyNumberFormat="1" applyFont="1" applyFill="1" applyBorder="1" applyAlignment="1">
      <alignment horizontal="center" vertical="center"/>
    </xf>
    <xf numFmtId="183" fontId="46" fillId="3" borderId="1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21" fontId="35" fillId="0" borderId="0" xfId="0" applyNumberFormat="1" applyFont="1" applyAlignment="1">
      <alignment vertical="center" wrapText="1"/>
    </xf>
    <xf numFmtId="185" fontId="0" fillId="0" borderId="1" xfId="18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" fontId="17" fillId="0" borderId="1" xfId="0" applyNumberFormat="1" applyFont="1" applyFill="1" applyBorder="1" applyAlignment="1">
      <alignment horizontal="center" vertical="center"/>
    </xf>
    <xf numFmtId="183" fontId="8" fillId="0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83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83" fontId="8" fillId="0" borderId="6" xfId="0" applyNumberFormat="1" applyFont="1" applyFill="1" applyBorder="1" applyAlignment="1">
      <alignment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1" fontId="0" fillId="0" borderId="9" xfId="0" applyNumberFormat="1" applyFont="1" applyFill="1" applyBorder="1" applyAlignment="1">
      <alignment horizontal="center" vertical="center"/>
    </xf>
    <xf numFmtId="183" fontId="22" fillId="0" borderId="9" xfId="0" applyNumberFormat="1" applyFont="1" applyFill="1" applyBorder="1" applyAlignment="1">
      <alignment horizontal="center" vertical="center"/>
    </xf>
    <xf numFmtId="183" fontId="0" fillId="0" borderId="9" xfId="0" applyNumberFormat="1" applyFont="1" applyFill="1" applyBorder="1" applyAlignment="1">
      <alignment horizontal="center" vertical="center"/>
    </xf>
    <xf numFmtId="183" fontId="23" fillId="2" borderId="9" xfId="0" applyNumberFormat="1" applyFont="1" applyFill="1" applyBorder="1" applyAlignment="1">
      <alignment horizontal="center" vertical="center"/>
    </xf>
    <xf numFmtId="183" fontId="23" fillId="0" borderId="9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top" wrapText="1"/>
    </xf>
    <xf numFmtId="183" fontId="11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183" fontId="23" fillId="0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83" fontId="31" fillId="0" borderId="1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top" wrapText="1"/>
    </xf>
    <xf numFmtId="1" fontId="31" fillId="0" borderId="6" xfId="0" applyNumberFormat="1" applyFont="1" applyFill="1" applyBorder="1" applyAlignment="1">
      <alignment horizontal="center" vertical="center" wrapText="1"/>
    </xf>
    <xf numFmtId="1" fontId="31" fillId="0" borderId="16" xfId="0" applyNumberFormat="1" applyFont="1" applyFill="1" applyBorder="1" applyAlignment="1">
      <alignment horizontal="center" vertical="center" wrapText="1"/>
    </xf>
    <xf numFmtId="1" fontId="31" fillId="0" borderId="4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Fill="1" applyBorder="1" applyAlignment="1">
      <alignment horizontal="center" vertical="center"/>
    </xf>
    <xf numFmtId="185" fontId="23" fillId="0" borderId="0" xfId="0" applyNumberFormat="1" applyFont="1" applyFill="1" applyAlignment="1">
      <alignment vertical="center"/>
    </xf>
    <xf numFmtId="185" fontId="23" fillId="4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7" borderId="0" xfId="0" applyFont="1" applyFill="1" applyAlignment="1">
      <alignment vertical="center"/>
    </xf>
    <xf numFmtId="0" fontId="23" fillId="8" borderId="0" xfId="0" applyFont="1" applyFill="1" applyAlignment="1">
      <alignment vertical="center"/>
    </xf>
    <xf numFmtId="0" fontId="49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185" fontId="0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185" fontId="29" fillId="0" borderId="1" xfId="0" applyNumberFormat="1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83" fontId="14" fillId="0" borderId="1" xfId="0" applyNumberFormat="1" applyFont="1" applyBorder="1" applyAlignment="1">
      <alignment horizontal="center" vertical="center" wrapText="1"/>
    </xf>
    <xf numFmtId="183" fontId="27" fillId="0" borderId="1" xfId="0" applyNumberFormat="1" applyFont="1" applyFill="1" applyBorder="1" applyAlignment="1">
      <alignment horizontal="center" vertical="center" wrapText="1"/>
    </xf>
    <xf numFmtId="18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7" borderId="0" xfId="0" applyFont="1" applyFill="1" applyAlignment="1">
      <alignment vertical="center" wrapText="1"/>
    </xf>
    <xf numFmtId="0" fontId="14" fillId="8" borderId="0" xfId="0" applyFont="1" applyFill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16" fontId="17" fillId="0" borderId="0" xfId="0" applyNumberFormat="1" applyFont="1" applyFill="1" applyAlignment="1">
      <alignment vertical="center" wrapText="1"/>
    </xf>
    <xf numFmtId="2" fontId="22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1" fontId="22" fillId="0" borderId="1" xfId="0" applyNumberFormat="1" applyFont="1" applyFill="1" applyBorder="1" applyAlignment="1">
      <alignment horizontal="center" vertical="center"/>
    </xf>
    <xf numFmtId="183" fontId="50" fillId="3" borderId="1" xfId="0" applyNumberFormat="1" applyFont="1" applyFill="1" applyBorder="1" applyAlignment="1">
      <alignment horizontal="center" vertical="center"/>
    </xf>
    <xf numFmtId="1" fontId="51" fillId="0" borderId="1" xfId="0" applyNumberFormat="1" applyFont="1" applyFill="1" applyBorder="1" applyAlignment="1">
      <alignment horizontal="center" vertical="center"/>
    </xf>
    <xf numFmtId="183" fontId="4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 horizontal="center" vertical="center" wrapText="1"/>
    </xf>
    <xf numFmtId="1" fontId="52" fillId="0" borderId="1" xfId="0" applyNumberFormat="1" applyFont="1" applyFill="1" applyBorder="1" applyAlignment="1">
      <alignment horizontal="center" vertical="center"/>
    </xf>
    <xf numFmtId="183" fontId="27" fillId="2" borderId="1" xfId="0" applyNumberFormat="1" applyFont="1" applyFill="1" applyBorder="1" applyAlignment="1">
      <alignment vertical="center" wrapText="1"/>
    </xf>
    <xf numFmtId="0" fontId="4" fillId="8" borderId="0" xfId="0" applyFont="1" applyFill="1" applyAlignment="1">
      <alignment/>
    </xf>
    <xf numFmtId="183" fontId="27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83" fontId="27" fillId="4" borderId="0" xfId="0" applyNumberFormat="1" applyFont="1" applyFill="1" applyAlignment="1">
      <alignment vertical="center" wrapText="1"/>
    </xf>
    <xf numFmtId="0" fontId="8" fillId="0" borderId="22" xfId="0" applyFont="1" applyBorder="1" applyAlignment="1">
      <alignment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7" borderId="0" xfId="0" applyFont="1" applyFill="1" applyAlignment="1">
      <alignment vertical="center" wrapText="1"/>
    </xf>
    <xf numFmtId="0" fontId="8" fillId="8" borderId="0" xfId="0" applyFont="1" applyFill="1" applyAlignment="1">
      <alignment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183" fontId="24" fillId="0" borderId="9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183" fontId="0" fillId="0" borderId="1" xfId="0" applyNumberFormat="1" applyFont="1" applyFill="1" applyBorder="1" applyAlignment="1">
      <alignment horizontal="left" vertical="center"/>
    </xf>
    <xf numFmtId="0" fontId="14" fillId="0" borderId="4" xfId="0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83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53" fillId="4" borderId="0" xfId="0" applyFont="1" applyFill="1" applyAlignment="1">
      <alignment/>
    </xf>
    <xf numFmtId="0" fontId="2" fillId="7" borderId="0" xfId="0" applyFont="1" applyFill="1" applyAlignment="1">
      <alignment/>
    </xf>
    <xf numFmtId="0" fontId="2" fillId="8" borderId="0" xfId="0" applyFont="1" applyFill="1" applyAlignment="1">
      <alignment/>
    </xf>
    <xf numFmtId="183" fontId="49" fillId="0" borderId="1" xfId="0" applyNumberFormat="1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left" vertical="center" wrapText="1"/>
    </xf>
    <xf numFmtId="6" fontId="54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5" fillId="9" borderId="9" xfId="0" applyFont="1" applyFill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left" vertical="center" wrapText="1"/>
    </xf>
    <xf numFmtId="1" fontId="23" fillId="0" borderId="6" xfId="0" applyNumberFormat="1" applyFont="1" applyFill="1" applyBorder="1" applyAlignment="1">
      <alignment horizontal="center" vertical="center" wrapText="1"/>
    </xf>
    <xf numFmtId="1" fontId="23" fillId="0" borderId="16" xfId="0" applyNumberFormat="1" applyFont="1" applyFill="1" applyBorder="1" applyAlignment="1">
      <alignment horizontal="center" vertical="center" wrapText="1"/>
    </xf>
    <xf numFmtId="1" fontId="23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1" fontId="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1" fontId="7" fillId="0" borderId="1" xfId="0" applyNumberFormat="1" applyFont="1" applyFill="1" applyBorder="1" applyAlignment="1">
      <alignment horizontal="center" vertical="center" wrapText="1"/>
    </xf>
    <xf numFmtId="183" fontId="13" fillId="4" borderId="0" xfId="0" applyNumberFormat="1" applyFont="1" applyFill="1" applyAlignment="1">
      <alignment/>
    </xf>
    <xf numFmtId="183" fontId="4" fillId="8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left" vertical="top" wrapText="1"/>
    </xf>
    <xf numFmtId="0" fontId="11" fillId="9" borderId="1" xfId="0" applyFont="1" applyFill="1" applyBorder="1" applyAlignment="1">
      <alignment horizontal="center" vertical="top" wrapText="1"/>
    </xf>
    <xf numFmtId="183" fontId="14" fillId="2" borderId="1" xfId="0" applyNumberFormat="1" applyFont="1" applyFill="1" applyBorder="1" applyAlignment="1">
      <alignment horizontal="center" vertical="center" wrapText="1"/>
    </xf>
    <xf numFmtId="183" fontId="8" fillId="2" borderId="15" xfId="0" applyNumberFormat="1" applyFont="1" applyFill="1" applyBorder="1" applyAlignment="1">
      <alignment horizontal="center" vertical="center" wrapText="1"/>
    </xf>
    <xf numFmtId="183" fontId="8" fillId="0" borderId="0" xfId="0" applyNumberFormat="1" applyFont="1" applyBorder="1" applyAlignment="1">
      <alignment vertical="center" wrapText="1"/>
    </xf>
    <xf numFmtId="183" fontId="8" fillId="2" borderId="1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183" fontId="8" fillId="2" borderId="0" xfId="0" applyNumberFormat="1" applyFont="1" applyFill="1" applyAlignment="1">
      <alignment vertical="center" wrapText="1"/>
    </xf>
    <xf numFmtId="2" fontId="8" fillId="3" borderId="0" xfId="0" applyNumberFormat="1" applyFont="1" applyFill="1" applyAlignment="1">
      <alignment vertical="center" wrapText="1"/>
    </xf>
    <xf numFmtId="183" fontId="7" fillId="5" borderId="15" xfId="0" applyNumberFormat="1" applyFont="1" applyFill="1" applyBorder="1" applyAlignment="1">
      <alignment vertical="center" wrapText="1"/>
    </xf>
    <xf numFmtId="183" fontId="7" fillId="6" borderId="15" xfId="0" applyNumberFormat="1" applyFont="1" applyFill="1" applyBorder="1" applyAlignment="1">
      <alignment vertical="center" wrapText="1"/>
    </xf>
    <xf numFmtId="183" fontId="7" fillId="0" borderId="0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top" wrapText="1"/>
    </xf>
    <xf numFmtId="183" fontId="21" fillId="3" borderId="9" xfId="0" applyNumberFormat="1" applyFont="1" applyFill="1" applyBorder="1" applyAlignment="1">
      <alignment horizontal="center" vertical="center"/>
    </xf>
    <xf numFmtId="183" fontId="17" fillId="2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83" fontId="17" fillId="0" borderId="1" xfId="0" applyNumberFormat="1" applyFont="1" applyBorder="1" applyAlignment="1">
      <alignment horizontal="center" vertical="center" wrapText="1"/>
    </xf>
    <xf numFmtId="183" fontId="14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83" fontId="17" fillId="0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183" fontId="26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7" fillId="4" borderId="0" xfId="0" applyFont="1" applyFill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7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183" fontId="14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17" fillId="0" borderId="4" xfId="0" applyFont="1" applyFill="1" applyBorder="1" applyAlignment="1">
      <alignment vertical="center" wrapText="1"/>
    </xf>
    <xf numFmtId="183" fontId="13" fillId="0" borderId="0" xfId="0" applyNumberFormat="1" applyFont="1" applyFill="1" applyAlignment="1">
      <alignment/>
    </xf>
    <xf numFmtId="2" fontId="13" fillId="0" borderId="0" xfId="0" applyNumberFormat="1" applyFont="1" applyAlignment="1">
      <alignment/>
    </xf>
    <xf numFmtId="17" fontId="32" fillId="0" borderId="1" xfId="0" applyNumberFormat="1" applyFont="1" applyBorder="1" applyAlignment="1">
      <alignment horizontal="center" vertical="center" wrapText="1"/>
    </xf>
    <xf numFmtId="17" fontId="32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 wrapText="1"/>
    </xf>
    <xf numFmtId="183" fontId="8" fillId="2" borderId="1" xfId="0" applyNumberFormat="1" applyFont="1" applyFill="1" applyBorder="1" applyAlignment="1">
      <alignment horizontal="center" vertical="center" wrapText="1"/>
    </xf>
    <xf numFmtId="183" fontId="8" fillId="0" borderId="0" xfId="0" applyNumberFormat="1" applyFont="1" applyBorder="1" applyAlignment="1">
      <alignment horizontal="center" vertical="center" wrapText="1"/>
    </xf>
    <xf numFmtId="183" fontId="8" fillId="5" borderId="1" xfId="0" applyNumberFormat="1" applyFont="1" applyFill="1" applyBorder="1" applyAlignment="1">
      <alignment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8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183" fontId="8" fillId="10" borderId="1" xfId="0" applyNumberFormat="1" applyFont="1" applyFill="1" applyBorder="1" applyAlignment="1">
      <alignment horizontal="center" vertical="center" wrapText="1"/>
    </xf>
    <xf numFmtId="183" fontId="17" fillId="10" borderId="1" xfId="0" applyNumberFormat="1" applyFont="1" applyFill="1" applyBorder="1" applyAlignment="1">
      <alignment vertical="center" wrapText="1"/>
    </xf>
    <xf numFmtId="183" fontId="5" fillId="10" borderId="1" xfId="0" applyNumberFormat="1" applyFont="1" applyFill="1" applyBorder="1" applyAlignment="1">
      <alignment horizontal="center" vertical="center" wrapText="1"/>
    </xf>
    <xf numFmtId="1" fontId="17" fillId="10" borderId="1" xfId="0" applyNumberFormat="1" applyFont="1" applyFill="1" applyBorder="1" applyAlignment="1">
      <alignment horizontal="center" vertical="center" wrapText="1"/>
    </xf>
    <xf numFmtId="183" fontId="9" fillId="2" borderId="1" xfId="0" applyNumberFormat="1" applyFont="1" applyFill="1" applyBorder="1" applyAlignment="1">
      <alignment vertical="center" wrapText="1"/>
    </xf>
    <xf numFmtId="183" fontId="9" fillId="2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83" fontId="8" fillId="0" borderId="0" xfId="0" applyNumberFormat="1" applyFont="1" applyFill="1" applyBorder="1" applyAlignment="1">
      <alignment horizontal="center" vertical="center" wrapText="1"/>
    </xf>
    <xf numFmtId="183" fontId="17" fillId="2" borderId="0" xfId="0" applyNumberFormat="1" applyFont="1" applyFill="1" applyBorder="1" applyAlignment="1">
      <alignment vertical="center" wrapText="1"/>
    </xf>
    <xf numFmtId="183" fontId="5" fillId="0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183" fontId="8" fillId="3" borderId="0" xfId="0" applyNumberFormat="1" applyFont="1" applyFill="1" applyBorder="1" applyAlignment="1">
      <alignment horizontal="center" vertical="center" wrapText="1"/>
    </xf>
    <xf numFmtId="183" fontId="17" fillId="0" borderId="0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55" fillId="0" borderId="1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83" fontId="8" fillId="0" borderId="1" xfId="0" applyNumberFormat="1" applyFont="1" applyFill="1" applyBorder="1" applyAlignment="1">
      <alignment horizontal="center" vertical="top" wrapText="1"/>
    </xf>
    <xf numFmtId="2" fontId="57" fillId="0" borderId="1" xfId="0" applyNumberFormat="1" applyFont="1" applyFill="1" applyBorder="1" applyAlignment="1">
      <alignment horizontal="center" vertical="center" wrapText="1"/>
    </xf>
    <xf numFmtId="2" fontId="58" fillId="2" borderId="1" xfId="0" applyNumberFormat="1" applyFont="1" applyFill="1" applyBorder="1" applyAlignment="1">
      <alignment horizontal="center" vertical="top" wrapText="1"/>
    </xf>
    <xf numFmtId="2" fontId="58" fillId="0" borderId="1" xfId="0" applyNumberFormat="1" applyFont="1" applyFill="1" applyBorder="1" applyAlignment="1">
      <alignment horizontal="center" vertical="center" wrapText="1"/>
    </xf>
    <xf numFmtId="1" fontId="58" fillId="0" borderId="1" xfId="0" applyNumberFormat="1" applyFont="1" applyFill="1" applyBorder="1" applyAlignment="1">
      <alignment horizontal="center" vertical="center" wrapText="1"/>
    </xf>
    <xf numFmtId="183" fontId="57" fillId="0" borderId="1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Fill="1" applyBorder="1" applyAlignment="1">
      <alignment horizontal="center" vertical="top" wrapText="1"/>
    </xf>
    <xf numFmtId="183" fontId="58" fillId="0" borderId="0" xfId="0" applyNumberFormat="1" applyFont="1" applyFill="1" applyBorder="1" applyAlignment="1">
      <alignment horizontal="center" vertical="top" wrapText="1"/>
    </xf>
    <xf numFmtId="183" fontId="14" fillId="2" borderId="4" xfId="0" applyNumberFormat="1" applyFont="1" applyFill="1" applyBorder="1" applyAlignment="1">
      <alignment vertical="center" wrapText="1"/>
    </xf>
    <xf numFmtId="2" fontId="14" fillId="2" borderId="1" xfId="0" applyNumberFormat="1" applyFont="1" applyFill="1" applyBorder="1" applyAlignment="1">
      <alignment vertical="center" wrapText="1"/>
    </xf>
    <xf numFmtId="183" fontId="17" fillId="0" borderId="12" xfId="0" applyNumberFormat="1" applyFont="1" applyBorder="1" applyAlignment="1">
      <alignment vertical="center" wrapText="1"/>
    </xf>
    <xf numFmtId="0" fontId="17" fillId="3" borderId="9" xfId="0" applyFont="1" applyFill="1" applyBorder="1" applyAlignment="1">
      <alignment vertical="center" wrapText="1"/>
    </xf>
    <xf numFmtId="2" fontId="17" fillId="3" borderId="9" xfId="0" applyNumberFormat="1" applyFont="1" applyFill="1" applyBorder="1" applyAlignment="1">
      <alignment vertical="center" wrapText="1"/>
    </xf>
    <xf numFmtId="2" fontId="17" fillId="3" borderId="0" xfId="0" applyNumberFormat="1" applyFont="1" applyFill="1" applyBorder="1" applyAlignment="1">
      <alignment vertical="center" wrapText="1"/>
    </xf>
    <xf numFmtId="183" fontId="17" fillId="3" borderId="9" xfId="0" applyNumberFormat="1" applyFont="1" applyFill="1" applyBorder="1" applyAlignment="1">
      <alignment vertical="center" wrapText="1"/>
    </xf>
    <xf numFmtId="183" fontId="14" fillId="2" borderId="9" xfId="0" applyNumberFormat="1" applyFont="1" applyFill="1" applyBorder="1" applyAlignment="1">
      <alignment vertical="center" wrapText="1"/>
    </xf>
    <xf numFmtId="2" fontId="17" fillId="0" borderId="9" xfId="0" applyNumberFormat="1" applyFont="1" applyBorder="1" applyAlignment="1">
      <alignment vertical="center" wrapText="1"/>
    </xf>
    <xf numFmtId="183" fontId="17" fillId="2" borderId="9" xfId="0" applyNumberFormat="1" applyFont="1" applyFill="1" applyBorder="1" applyAlignment="1">
      <alignment vertical="center" wrapText="1"/>
    </xf>
    <xf numFmtId="183" fontId="8" fillId="0" borderId="0" xfId="0" applyNumberFormat="1" applyFont="1" applyFill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top" wrapText="1"/>
    </xf>
    <xf numFmtId="183" fontId="17" fillId="0" borderId="4" xfId="0" applyNumberFormat="1" applyFont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2" fontId="17" fillId="3" borderId="1" xfId="0" applyNumberFormat="1" applyFont="1" applyFill="1" applyBorder="1" applyAlignment="1">
      <alignment vertical="center" wrapText="1"/>
    </xf>
    <xf numFmtId="183" fontId="17" fillId="3" borderId="1" xfId="0" applyNumberFormat="1" applyFont="1" applyFill="1" applyBorder="1" applyAlignment="1">
      <alignment vertical="center" wrapText="1"/>
    </xf>
    <xf numFmtId="183" fontId="14" fillId="2" borderId="1" xfId="0" applyNumberFormat="1" applyFont="1" applyFill="1" applyBorder="1" applyAlignment="1">
      <alignment vertical="center" wrapText="1"/>
    </xf>
    <xf numFmtId="183" fontId="59" fillId="0" borderId="1" xfId="0" applyNumberFormat="1" applyFont="1" applyFill="1" applyBorder="1" applyAlignment="1">
      <alignment horizontal="center" vertical="top" wrapText="1"/>
    </xf>
    <xf numFmtId="0" fontId="12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horizontal="center" vertical="top" wrapText="1"/>
    </xf>
    <xf numFmtId="183" fontId="8" fillId="10" borderId="1" xfId="0" applyNumberFormat="1" applyFont="1" applyFill="1" applyBorder="1" applyAlignment="1">
      <alignment horizontal="center" vertical="top" wrapText="1"/>
    </xf>
    <xf numFmtId="0" fontId="8" fillId="10" borderId="1" xfId="0" applyFont="1" applyFill="1" applyBorder="1" applyAlignment="1">
      <alignment horizontal="left" vertical="top" wrapText="1"/>
    </xf>
    <xf numFmtId="2" fontId="60" fillId="10" borderId="1" xfId="0" applyNumberFormat="1" applyFont="1" applyFill="1" applyBorder="1" applyAlignment="1">
      <alignment horizontal="center" vertical="center" wrapText="1"/>
    </xf>
    <xf numFmtId="2" fontId="55" fillId="10" borderId="1" xfId="0" applyNumberFormat="1" applyFont="1" applyFill="1" applyBorder="1" applyAlignment="1">
      <alignment horizontal="center" vertical="center" wrapText="1"/>
    </xf>
    <xf numFmtId="1" fontId="55" fillId="10" borderId="1" xfId="0" applyNumberFormat="1" applyFont="1" applyFill="1" applyBorder="1" applyAlignment="1">
      <alignment horizontal="center" vertical="center" wrapText="1"/>
    </xf>
    <xf numFmtId="2" fontId="58" fillId="10" borderId="1" xfId="0" applyNumberFormat="1" applyFont="1" applyFill="1" applyBorder="1" applyAlignment="1">
      <alignment horizontal="center" vertical="center" wrapText="1"/>
    </xf>
    <xf numFmtId="183" fontId="60" fillId="10" borderId="1" xfId="0" applyNumberFormat="1" applyFont="1" applyFill="1" applyBorder="1" applyAlignment="1">
      <alignment horizontal="center" vertical="center" wrapText="1"/>
    </xf>
    <xf numFmtId="183" fontId="55" fillId="10" borderId="1" xfId="0" applyNumberFormat="1" applyFont="1" applyFill="1" applyBorder="1" applyAlignment="1">
      <alignment horizontal="center" vertical="center" wrapText="1"/>
    </xf>
    <xf numFmtId="2" fontId="58" fillId="10" borderId="0" xfId="0" applyNumberFormat="1" applyFont="1" applyFill="1" applyBorder="1" applyAlignment="1">
      <alignment horizontal="center" vertical="top" wrapText="1"/>
    </xf>
    <xf numFmtId="183" fontId="58" fillId="10" borderId="0" xfId="0" applyNumberFormat="1" applyFont="1" applyFill="1" applyBorder="1" applyAlignment="1">
      <alignment horizontal="center" vertical="top" wrapText="1"/>
    </xf>
    <xf numFmtId="183" fontId="17" fillId="10" borderId="0" xfId="0" applyNumberFormat="1" applyFont="1" applyFill="1" applyAlignment="1">
      <alignment vertical="center" wrapText="1"/>
    </xf>
    <xf numFmtId="0" fontId="17" fillId="10" borderId="0" xfId="0" applyFont="1" applyFill="1" applyAlignment="1">
      <alignment vertical="center" wrapText="1"/>
    </xf>
    <xf numFmtId="2" fontId="17" fillId="10" borderId="0" xfId="0" applyNumberFormat="1" applyFont="1" applyFill="1" applyAlignment="1">
      <alignment vertical="center" wrapText="1"/>
    </xf>
    <xf numFmtId="2" fontId="17" fillId="10" borderId="1" xfId="0" applyNumberFormat="1" applyFont="1" applyFill="1" applyBorder="1" applyAlignment="1">
      <alignment vertical="center" wrapText="1"/>
    </xf>
    <xf numFmtId="183" fontId="8" fillId="10" borderId="1" xfId="0" applyNumberFormat="1" applyFont="1" applyFill="1" applyBorder="1" applyAlignment="1">
      <alignment vertical="center" wrapText="1"/>
    </xf>
    <xf numFmtId="1" fontId="8" fillId="10" borderId="1" xfId="0" applyNumberFormat="1" applyFont="1" applyFill="1" applyBorder="1" applyAlignment="1">
      <alignment vertical="center" wrapText="1"/>
    </xf>
    <xf numFmtId="0" fontId="17" fillId="3" borderId="0" xfId="0" applyFont="1" applyFill="1" applyBorder="1" applyAlignment="1">
      <alignment vertical="center" wrapText="1"/>
    </xf>
    <xf numFmtId="183" fontId="8" fillId="3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3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83" fontId="7" fillId="0" borderId="0" xfId="0" applyNumberFormat="1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183" fontId="7" fillId="0" borderId="0" xfId="0" applyNumberFormat="1" applyFont="1" applyAlignment="1">
      <alignment vertical="center" wrapText="1"/>
    </xf>
    <xf numFmtId="183" fontId="4" fillId="0" borderId="0" xfId="0" applyNumberFormat="1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1" fontId="7" fillId="0" borderId="0" xfId="0" applyNumberFormat="1" applyFont="1" applyFill="1" applyAlignment="1">
      <alignment vertical="center" wrapText="1"/>
    </xf>
    <xf numFmtId="183" fontId="4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Alignment="1">
      <alignment horizontal="center"/>
    </xf>
    <xf numFmtId="49" fontId="32" fillId="3" borderId="1" xfId="0" applyNumberFormat="1" applyFont="1" applyFill="1" applyBorder="1" applyAlignment="1">
      <alignment horizontal="center"/>
    </xf>
    <xf numFmtId="49" fontId="32" fillId="3" borderId="4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41" fillId="3" borderId="9" xfId="0" applyFont="1" applyFill="1" applyBorder="1" applyAlignment="1">
      <alignment horizontal="center" vertical="top" wrapText="1"/>
    </xf>
    <xf numFmtId="0" fontId="3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83" fontId="61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32" fillId="3" borderId="1" xfId="0" applyNumberFormat="1" applyFont="1" applyFill="1" applyBorder="1" applyAlignment="1">
      <alignment horizontal="center" vertical="center" wrapText="1"/>
    </xf>
    <xf numFmtId="49" fontId="32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83" fontId="9" fillId="3" borderId="1" xfId="0" applyNumberFormat="1" applyFont="1" applyFill="1" applyBorder="1" applyAlignment="1">
      <alignment horizontal="center" vertical="center" wrapText="1"/>
    </xf>
    <xf numFmtId="183" fontId="9" fillId="0" borderId="0" xfId="0" applyNumberFormat="1" applyFont="1" applyFill="1" applyAlignment="1">
      <alignment horizontal="center"/>
    </xf>
    <xf numFmtId="183" fontId="9" fillId="2" borderId="0" xfId="0" applyNumberFormat="1" applyFont="1" applyFill="1" applyAlignment="1">
      <alignment horizontal="center"/>
    </xf>
    <xf numFmtId="183" fontId="11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83" fontId="9" fillId="0" borderId="0" xfId="0" applyNumberFormat="1" applyFont="1" applyFill="1" applyAlignment="1">
      <alignment horizontal="center" vertical="center"/>
    </xf>
    <xf numFmtId="183" fontId="8" fillId="3" borderId="0" xfId="0" applyNumberFormat="1" applyFont="1" applyFill="1" applyAlignment="1">
      <alignment horizontal="center" vertical="center"/>
    </xf>
    <xf numFmtId="183" fontId="9" fillId="0" borderId="0" xfId="0" applyNumberFormat="1" applyFont="1" applyAlignment="1">
      <alignment horizontal="center"/>
    </xf>
    <xf numFmtId="49" fontId="32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28" fillId="0" borderId="6" xfId="0" applyNumberFormat="1" applyFont="1" applyFill="1" applyBorder="1" applyAlignment="1">
      <alignment horizontal="center" vertical="center"/>
    </xf>
    <xf numFmtId="1" fontId="24" fillId="0" borderId="6" xfId="0" applyNumberFormat="1" applyFont="1" applyFill="1" applyBorder="1" applyAlignment="1">
      <alignment horizontal="center" vertical="center"/>
    </xf>
    <xf numFmtId="1" fontId="39" fillId="0" borderId="6" xfId="0" applyNumberFormat="1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top" wrapText="1"/>
    </xf>
    <xf numFmtId="0" fontId="41" fillId="9" borderId="4" xfId="0" applyFont="1" applyFill="1" applyBorder="1" applyAlignment="1">
      <alignment horizontal="center" vertical="top" wrapText="1"/>
    </xf>
    <xf numFmtId="0" fontId="32" fillId="4" borderId="1" xfId="0" applyFont="1" applyFill="1" applyBorder="1" applyAlignment="1">
      <alignment horizontal="center" vertical="center" wrapText="1"/>
    </xf>
    <xf numFmtId="49" fontId="32" fillId="4" borderId="1" xfId="0" applyNumberFormat="1" applyFont="1" applyFill="1" applyBorder="1" applyAlignment="1">
      <alignment horizontal="center" vertical="center" wrapText="1"/>
    </xf>
    <xf numFmtId="49" fontId="32" fillId="4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41" fillId="4" borderId="4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183" fontId="9" fillId="4" borderId="1" xfId="0" applyNumberFormat="1" applyFont="1" applyFill="1" applyBorder="1" applyAlignment="1">
      <alignment horizontal="center" vertical="center" wrapText="1"/>
    </xf>
    <xf numFmtId="183" fontId="4" fillId="2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center" vertical="center"/>
    </xf>
    <xf numFmtId="183" fontId="8" fillId="3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top" wrapText="1"/>
    </xf>
    <xf numFmtId="0" fontId="41" fillId="9" borderId="9" xfId="0" applyFont="1" applyFill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183" fontId="42" fillId="0" borderId="0" xfId="0" applyNumberFormat="1" applyFont="1" applyFill="1" applyAlignment="1">
      <alignment/>
    </xf>
    <xf numFmtId="0" fontId="4" fillId="5" borderId="0" xfId="0" applyFont="1" applyFill="1" applyAlignment="1">
      <alignment/>
    </xf>
    <xf numFmtId="0" fontId="4" fillId="6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Книга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84;&#1110;&#1085;&#1080;%20&#1090;&#1077;&#1084;%20&#1087;&#1083;&#1072;&#1085;&#1091;%20&#1085;&#1072;%2031.12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 зміни"/>
      <sheetName val="2007 зміни (2)"/>
      <sheetName val="свод"/>
      <sheetName val="перелік  власних програм"/>
    </sheetNames>
    <sheetDataSet>
      <sheetData sheetId="0">
        <row r="294">
          <cell r="AP294">
            <v>1784.8000000000002</v>
          </cell>
        </row>
        <row r="295">
          <cell r="AP295">
            <v>635.4</v>
          </cell>
        </row>
        <row r="296">
          <cell r="AP296">
            <v>934.7</v>
          </cell>
        </row>
        <row r="297">
          <cell r="AP297">
            <v>1260.3000000000002</v>
          </cell>
        </row>
        <row r="298">
          <cell r="AP298">
            <v>425.29999999999995</v>
          </cell>
        </row>
        <row r="299">
          <cell r="AP299">
            <v>495</v>
          </cell>
        </row>
        <row r="300">
          <cell r="AP300">
            <v>5535.5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indexed="10"/>
  </sheetPr>
  <dimension ref="A1:CY334"/>
  <sheetViews>
    <sheetView showZeros="0" tabSelected="1" zoomScaleSheetLayoutView="100" workbookViewId="0" topLeftCell="C1">
      <selection activeCell="AQ243" sqref="AQ243"/>
    </sheetView>
  </sheetViews>
  <sheetFormatPr defaultColWidth="9.140625" defaultRowHeight="12.75"/>
  <cols>
    <col min="1" max="1" width="3.140625" style="16" hidden="1" customWidth="1"/>
    <col min="2" max="2" width="5.8515625" style="766" hidden="1" customWidth="1"/>
    <col min="3" max="3" width="0.2890625" style="766" customWidth="1"/>
    <col min="4" max="4" width="19.140625" style="1" customWidth="1"/>
    <col min="5" max="5" width="14.57421875" style="2" customWidth="1"/>
    <col min="6" max="6" width="66.140625" style="3" customWidth="1"/>
    <col min="7" max="7" width="9.7109375" style="1" hidden="1" customWidth="1"/>
    <col min="8" max="8" width="6.421875" style="1" hidden="1" customWidth="1"/>
    <col min="9" max="9" width="9.140625" style="1" hidden="1" customWidth="1"/>
    <col min="10" max="10" width="7.28125" style="1" hidden="1" customWidth="1"/>
    <col min="11" max="11" width="9.00390625" style="5" hidden="1" customWidth="1"/>
    <col min="12" max="12" width="9.140625" style="5" hidden="1" customWidth="1"/>
    <col min="13" max="13" width="8.57421875" style="1" hidden="1" customWidth="1"/>
    <col min="14" max="14" width="6.57421875" style="6" hidden="1" customWidth="1"/>
    <col min="15" max="15" width="8.421875" style="6" hidden="1" customWidth="1"/>
    <col min="16" max="16" width="6.28125" style="6" hidden="1" customWidth="1"/>
    <col min="17" max="17" width="8.7109375" style="7" hidden="1" customWidth="1"/>
    <col min="18" max="18" width="9.57421875" style="8" hidden="1" customWidth="1"/>
    <col min="19" max="19" width="10.421875" style="9" hidden="1" customWidth="1"/>
    <col min="20" max="20" width="8.57421875" style="10" hidden="1" customWidth="1"/>
    <col min="21" max="21" width="6.28125" style="11" hidden="1" customWidth="1"/>
    <col min="22" max="22" width="8.00390625" style="10" hidden="1" customWidth="1"/>
    <col min="23" max="23" width="7.00390625" style="12" hidden="1" customWidth="1"/>
    <col min="24" max="24" width="7.7109375" style="13" hidden="1" customWidth="1"/>
    <col min="25" max="25" width="10.421875" style="14" hidden="1" customWidth="1"/>
    <col min="26" max="26" width="8.00390625" style="11" hidden="1" customWidth="1"/>
    <col min="27" max="27" width="8.421875" style="11" hidden="1" customWidth="1"/>
    <col min="28" max="28" width="8.00390625" style="11" hidden="1" customWidth="1"/>
    <col min="29" max="29" width="7.8515625" style="11" hidden="1" customWidth="1"/>
    <col min="30" max="30" width="10.140625" style="15" hidden="1" customWidth="1"/>
    <col min="31" max="31" width="6.7109375" style="15" hidden="1" customWidth="1"/>
    <col min="32" max="32" width="9.7109375" style="16" hidden="1" customWidth="1"/>
    <col min="33" max="34" width="11.421875" style="16" hidden="1" customWidth="1"/>
    <col min="35" max="35" width="19.140625" style="17" hidden="1" customWidth="1"/>
    <col min="36" max="36" width="10.140625" style="17" hidden="1" customWidth="1"/>
    <col min="37" max="37" width="9.140625" style="16" hidden="1" customWidth="1"/>
    <col min="38" max="38" width="13.140625" style="16" hidden="1" customWidth="1"/>
    <col min="39" max="39" width="9.140625" style="18" hidden="1" customWidth="1"/>
    <col min="40" max="40" width="6.8515625" style="18" customWidth="1"/>
    <col min="41" max="41" width="7.421875" style="19" customWidth="1"/>
    <col min="42" max="42" width="7.421875" style="20" customWidth="1"/>
    <col min="43" max="43" width="8.57421875" style="21" customWidth="1"/>
    <col min="44" max="44" width="7.7109375" style="39" customWidth="1"/>
    <col min="45" max="45" width="7.7109375" style="40" customWidth="1"/>
    <col min="46" max="47" width="8.57421875" style="20" customWidth="1"/>
    <col min="48" max="48" width="8.8515625" style="20" customWidth="1"/>
    <col min="49" max="49" width="9.421875" style="16" hidden="1" customWidth="1"/>
    <col min="50" max="52" width="9.140625" style="16" hidden="1" customWidth="1"/>
    <col min="53" max="55" width="11.421875" style="16" hidden="1" customWidth="1"/>
    <col min="56" max="57" width="9.28125" style="16" hidden="1" customWidth="1"/>
    <col min="58" max="58" width="13.140625" style="16" hidden="1" customWidth="1"/>
    <col min="59" max="60" width="9.140625" style="16" hidden="1" customWidth="1"/>
    <col min="61" max="61" width="11.421875" style="16" hidden="1" customWidth="1"/>
    <col min="62" max="62" width="10.8515625" style="16" hidden="1" customWidth="1"/>
    <col min="63" max="66" width="9.140625" style="16" hidden="1" customWidth="1"/>
    <col min="67" max="67" width="0" style="824" hidden="1" customWidth="1"/>
    <col min="68" max="68" width="0" style="639" hidden="1" customWidth="1"/>
    <col min="69" max="69" width="0" style="825" hidden="1" customWidth="1"/>
    <col min="70" max="70" width="0" style="358" hidden="1" customWidth="1"/>
    <col min="71" max="71" width="0" style="359" hidden="1" customWidth="1"/>
    <col min="72" max="72" width="0" style="350" hidden="1" customWidth="1"/>
    <col min="73" max="73" width="0" style="561" hidden="1" customWidth="1"/>
    <col min="74" max="102" width="9.140625" style="16" customWidth="1"/>
    <col min="103" max="103" width="9.8515625" style="16" bestFit="1" customWidth="1"/>
    <col min="104" max="16384" width="9.140625" style="16" customWidth="1"/>
  </cols>
  <sheetData>
    <row r="1" spans="10:48" ht="15.75">
      <c r="J1" s="4" t="s">
        <v>284</v>
      </c>
      <c r="AR1" s="22" t="s">
        <v>285</v>
      </c>
      <c r="AS1" s="22"/>
      <c r="AT1" s="22"/>
      <c r="AU1" s="22"/>
      <c r="AV1" s="22"/>
    </row>
    <row r="2" spans="4:48" ht="15.75">
      <c r="D2" s="23"/>
      <c r="E2" s="24"/>
      <c r="F2" s="25"/>
      <c r="G2" s="26"/>
      <c r="H2" s="26"/>
      <c r="I2" s="27" t="s">
        <v>286</v>
      </c>
      <c r="J2" s="23"/>
      <c r="K2" s="28"/>
      <c r="L2" s="28"/>
      <c r="R2" s="29"/>
      <c r="AR2" s="30" t="s">
        <v>286</v>
      </c>
      <c r="AS2" s="30"/>
      <c r="AT2" s="30"/>
      <c r="AU2" s="30"/>
      <c r="AV2" s="30"/>
    </row>
    <row r="3" spans="4:48" ht="15.75">
      <c r="D3" s="23"/>
      <c r="E3" s="24"/>
      <c r="F3" s="25"/>
      <c r="G3" s="26"/>
      <c r="H3" s="26"/>
      <c r="I3" s="27" t="s">
        <v>287</v>
      </c>
      <c r="J3" s="23"/>
      <c r="K3" s="28"/>
      <c r="L3" s="28"/>
      <c r="R3" s="29"/>
      <c r="AR3" s="30" t="s">
        <v>287</v>
      </c>
      <c r="AS3" s="30"/>
      <c r="AT3" s="30"/>
      <c r="AU3" s="30"/>
      <c r="AV3" s="30"/>
    </row>
    <row r="4" spans="4:48" ht="12.75">
      <c r="D4" s="23"/>
      <c r="E4" s="24"/>
      <c r="F4" s="25"/>
      <c r="G4" s="23"/>
      <c r="H4" s="23"/>
      <c r="I4" s="31"/>
      <c r="J4" s="23"/>
      <c r="K4" s="28"/>
      <c r="L4" s="28"/>
      <c r="R4" s="29"/>
      <c r="AR4" s="32"/>
      <c r="AS4" s="33"/>
      <c r="AT4" s="32"/>
      <c r="AU4" s="23"/>
      <c r="AV4" s="34"/>
    </row>
    <row r="5" spans="4:48" ht="15.75">
      <c r="D5" s="23"/>
      <c r="E5" s="24"/>
      <c r="F5" s="25"/>
      <c r="G5" s="23"/>
      <c r="H5" s="23"/>
      <c r="I5" s="27" t="s">
        <v>288</v>
      </c>
      <c r="J5" s="23"/>
      <c r="K5" s="28"/>
      <c r="L5" s="28"/>
      <c r="R5" s="29"/>
      <c r="AR5" s="35" t="s">
        <v>289</v>
      </c>
      <c r="AS5" s="35"/>
      <c r="AT5" s="35"/>
      <c r="AU5" s="35"/>
      <c r="AV5" s="35"/>
    </row>
    <row r="6" spans="4:48" ht="12.75">
      <c r="D6" s="23"/>
      <c r="E6" s="24"/>
      <c r="F6" s="25"/>
      <c r="G6" s="23"/>
      <c r="H6" s="23"/>
      <c r="I6" s="36"/>
      <c r="J6" s="23"/>
      <c r="K6" s="28"/>
      <c r="L6" s="28"/>
      <c r="R6" s="29"/>
      <c r="AR6" s="32"/>
      <c r="AS6" s="37"/>
      <c r="AT6" s="32"/>
      <c r="AU6" s="23"/>
      <c r="AV6" s="34"/>
    </row>
    <row r="7" spans="4:48" ht="13.5">
      <c r="D7" s="23"/>
      <c r="E7" s="24"/>
      <c r="F7" s="25"/>
      <c r="G7" s="23"/>
      <c r="H7" s="23"/>
      <c r="I7" s="27" t="s">
        <v>290</v>
      </c>
      <c r="J7" s="23"/>
      <c r="K7" s="28"/>
      <c r="L7" s="28"/>
      <c r="R7" s="29"/>
      <c r="AR7" s="38" t="s">
        <v>291</v>
      </c>
      <c r="AS7" s="38"/>
      <c r="AT7" s="38"/>
      <c r="AU7" s="38"/>
      <c r="AV7" s="38"/>
    </row>
    <row r="8" spans="4:18" ht="12.75">
      <c r="D8" s="23"/>
      <c r="E8" s="24"/>
      <c r="F8" s="25"/>
      <c r="G8" s="23"/>
      <c r="H8" s="23"/>
      <c r="I8" s="23"/>
      <c r="J8" s="23"/>
      <c r="K8" s="28"/>
      <c r="L8" s="28"/>
      <c r="M8" s="23"/>
      <c r="N8" s="32"/>
      <c r="O8" s="23"/>
      <c r="P8" s="23"/>
      <c r="Q8" s="34"/>
      <c r="R8" s="29"/>
    </row>
    <row r="9" spans="4:18" ht="12.75">
      <c r="D9" s="23"/>
      <c r="E9" s="24"/>
      <c r="F9" s="25"/>
      <c r="G9" s="23"/>
      <c r="H9" s="23"/>
      <c r="I9" s="23"/>
      <c r="J9" s="23"/>
      <c r="K9" s="28"/>
      <c r="L9" s="28"/>
      <c r="M9" s="23"/>
      <c r="N9" s="32"/>
      <c r="O9" s="32"/>
      <c r="P9" s="32"/>
      <c r="Q9" s="34"/>
      <c r="R9" s="29"/>
    </row>
    <row r="10" spans="4:18" ht="12.75">
      <c r="D10" s="23"/>
      <c r="E10" s="24"/>
      <c r="F10" s="41"/>
      <c r="G10" s="23"/>
      <c r="H10" s="23"/>
      <c r="I10" s="23"/>
      <c r="J10" s="23"/>
      <c r="K10" s="28"/>
      <c r="L10" s="28"/>
      <c r="M10" s="23"/>
      <c r="N10" s="32"/>
      <c r="O10" s="32"/>
      <c r="P10" s="32"/>
      <c r="Q10" s="34"/>
      <c r="R10" s="29"/>
    </row>
    <row r="11" spans="4:48" ht="34.5" customHeight="1">
      <c r="D11" s="42" t="s">
        <v>292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</row>
    <row r="12" spans="4:48" ht="18" customHeight="1">
      <c r="D12" s="43" t="s">
        <v>293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</row>
    <row r="13" spans="4:48" ht="20.25" customHeight="1">
      <c r="D13" s="30" t="s">
        <v>294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</row>
    <row r="14" spans="4:18" ht="12.75">
      <c r="D14" s="23"/>
      <c r="E14" s="24"/>
      <c r="F14" s="25"/>
      <c r="G14" s="23"/>
      <c r="H14" s="23"/>
      <c r="I14" s="23"/>
      <c r="J14" s="23"/>
      <c r="K14" s="28"/>
      <c r="L14" s="28"/>
      <c r="M14" s="23"/>
      <c r="N14" s="32"/>
      <c r="O14" s="32"/>
      <c r="P14" s="32"/>
      <c r="Q14" s="34"/>
      <c r="R14" s="29"/>
    </row>
    <row r="15" spans="4:57" ht="32.25" customHeight="1" thickBot="1">
      <c r="D15" s="44" t="s">
        <v>295</v>
      </c>
      <c r="E15" s="44" t="s">
        <v>296</v>
      </c>
      <c r="F15" s="44" t="s">
        <v>297</v>
      </c>
      <c r="G15" s="45"/>
      <c r="H15" s="45"/>
      <c r="I15" s="45"/>
      <c r="J15" s="45"/>
      <c r="K15" s="46"/>
      <c r="L15" s="46"/>
      <c r="M15" s="47" t="s">
        <v>298</v>
      </c>
      <c r="N15" s="48"/>
      <c r="O15" s="48"/>
      <c r="P15" s="48"/>
      <c r="Q15" s="48"/>
      <c r="R15" s="48"/>
      <c r="S15" s="47" t="s">
        <v>299</v>
      </c>
      <c r="T15" s="47"/>
      <c r="U15" s="47"/>
      <c r="V15" s="47"/>
      <c r="W15" s="47"/>
      <c r="X15" s="47"/>
      <c r="Y15" s="47"/>
      <c r="Z15" s="47"/>
      <c r="AA15" s="47" t="s">
        <v>300</v>
      </c>
      <c r="AB15" s="47"/>
      <c r="AC15" s="47"/>
      <c r="AD15" s="49"/>
      <c r="AE15" s="49"/>
      <c r="AF15" s="49"/>
      <c r="AG15" s="49"/>
      <c r="AH15" s="49"/>
      <c r="AI15" s="50"/>
      <c r="AJ15" s="50"/>
      <c r="AK15" s="49"/>
      <c r="AL15" s="49"/>
      <c r="AM15" s="51"/>
      <c r="AN15" s="52" t="s">
        <v>301</v>
      </c>
      <c r="AO15" s="52"/>
      <c r="AP15" s="52"/>
      <c r="AQ15" s="52"/>
      <c r="AR15" s="52"/>
      <c r="AS15" s="52"/>
      <c r="AT15" s="53" t="s">
        <v>302</v>
      </c>
      <c r="AU15" s="52"/>
      <c r="AV15" s="52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4:57" ht="23.25" customHeight="1" hidden="1" thickBot="1">
      <c r="D16" s="44"/>
      <c r="E16" s="44"/>
      <c r="F16" s="44"/>
      <c r="G16" s="45"/>
      <c r="H16" s="45"/>
      <c r="I16" s="54" t="s">
        <v>303</v>
      </c>
      <c r="J16" s="45"/>
      <c r="K16" s="46"/>
      <c r="L16" s="46"/>
      <c r="M16" s="55" t="s">
        <v>304</v>
      </c>
      <c r="N16" s="55"/>
      <c r="O16" s="55"/>
      <c r="P16" s="55"/>
      <c r="Q16" s="55"/>
      <c r="R16" s="55"/>
      <c r="S16" s="56"/>
      <c r="T16" s="57" t="s">
        <v>305</v>
      </c>
      <c r="U16" s="57"/>
      <c r="V16" s="57"/>
      <c r="W16" s="57"/>
      <c r="X16" s="57"/>
      <c r="Y16" s="57"/>
      <c r="Z16" s="57"/>
      <c r="AA16" s="47"/>
      <c r="AB16" s="47"/>
      <c r="AC16" s="47"/>
      <c r="AD16" s="49"/>
      <c r="AE16" s="49"/>
      <c r="AF16" s="49"/>
      <c r="AG16" s="49"/>
      <c r="AH16" s="49"/>
      <c r="AI16" s="50"/>
      <c r="AJ16" s="50"/>
      <c r="AK16" s="49"/>
      <c r="AL16" s="49"/>
      <c r="AM16" s="51"/>
      <c r="AN16" s="51"/>
      <c r="AO16" s="58"/>
      <c r="AP16" s="59"/>
      <c r="AQ16" s="60"/>
      <c r="AR16" s="61"/>
      <c r="AS16" s="62"/>
      <c r="AT16" s="59"/>
      <c r="AU16" s="59"/>
      <c r="AV16" s="59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2:73" s="63" customFormat="1" ht="26.25" customHeight="1">
      <c r="B17" s="64"/>
      <c r="C17" s="64"/>
      <c r="D17" s="44"/>
      <c r="E17" s="44"/>
      <c r="F17" s="44"/>
      <c r="G17" s="65" t="s">
        <v>306</v>
      </c>
      <c r="H17" s="65" t="s">
        <v>307</v>
      </c>
      <c r="I17" s="65" t="s">
        <v>308</v>
      </c>
      <c r="J17" s="65" t="s">
        <v>309</v>
      </c>
      <c r="K17" s="66" t="s">
        <v>310</v>
      </c>
      <c r="L17" s="66"/>
      <c r="M17" s="65" t="s">
        <v>306</v>
      </c>
      <c r="N17" s="67" t="s">
        <v>307</v>
      </c>
      <c r="O17" s="67" t="s">
        <v>308</v>
      </c>
      <c r="P17" s="67" t="s">
        <v>309</v>
      </c>
      <c r="Q17" s="66" t="s">
        <v>310</v>
      </c>
      <c r="R17" s="66"/>
      <c r="S17" s="68" t="s">
        <v>311</v>
      </c>
      <c r="T17" s="67" t="s">
        <v>306</v>
      </c>
      <c r="U17" s="67" t="s">
        <v>307</v>
      </c>
      <c r="V17" s="67" t="s">
        <v>308</v>
      </c>
      <c r="W17" s="69" t="s">
        <v>309</v>
      </c>
      <c r="X17" s="70" t="s">
        <v>310</v>
      </c>
      <c r="Y17" s="70"/>
      <c r="Z17" s="70"/>
      <c r="AA17" s="67" t="s">
        <v>312</v>
      </c>
      <c r="AB17" s="67" t="s">
        <v>313</v>
      </c>
      <c r="AC17" s="67" t="s">
        <v>314</v>
      </c>
      <c r="AD17" s="67"/>
      <c r="AE17" s="67"/>
      <c r="AF17" s="67"/>
      <c r="AG17" s="66"/>
      <c r="AH17" s="66"/>
      <c r="AI17" s="71"/>
      <c r="AJ17" s="71"/>
      <c r="AK17" s="72"/>
      <c r="AL17" s="72"/>
      <c r="AM17" s="73"/>
      <c r="AN17" s="74" t="s">
        <v>306</v>
      </c>
      <c r="AO17" s="75" t="s">
        <v>315</v>
      </c>
      <c r="AP17" s="76" t="s">
        <v>308</v>
      </c>
      <c r="AQ17" s="75" t="s">
        <v>309</v>
      </c>
      <c r="AR17" s="67" t="s">
        <v>310</v>
      </c>
      <c r="AS17" s="67"/>
      <c r="AT17" s="77" t="s">
        <v>316</v>
      </c>
      <c r="AU17" s="77" t="s">
        <v>317</v>
      </c>
      <c r="AV17" s="77" t="s">
        <v>314</v>
      </c>
      <c r="AW17" s="78"/>
      <c r="AX17" s="79"/>
      <c r="AY17" s="80"/>
      <c r="AZ17" s="80"/>
      <c r="BA17" s="81"/>
      <c r="BB17" s="82"/>
      <c r="BC17" s="82"/>
      <c r="BD17" s="82"/>
      <c r="BE17" s="81"/>
      <c r="BO17" s="83"/>
      <c r="BP17" s="84"/>
      <c r="BQ17" s="85"/>
      <c r="BR17" s="86"/>
      <c r="BS17" s="87"/>
      <c r="BT17" s="88"/>
      <c r="BU17" s="89"/>
    </row>
    <row r="18" spans="2:103" s="90" customFormat="1" ht="64.5" customHeight="1">
      <c r="B18" s="91"/>
      <c r="C18" s="91"/>
      <c r="D18" s="44"/>
      <c r="E18" s="44"/>
      <c r="F18" s="44"/>
      <c r="G18" s="65"/>
      <c r="H18" s="65"/>
      <c r="I18" s="65"/>
      <c r="J18" s="65"/>
      <c r="K18" s="92" t="s">
        <v>318</v>
      </c>
      <c r="L18" s="92" t="s">
        <v>319</v>
      </c>
      <c r="M18" s="65"/>
      <c r="N18" s="67"/>
      <c r="O18" s="67"/>
      <c r="P18" s="67"/>
      <c r="Q18" s="93" t="s">
        <v>318</v>
      </c>
      <c r="R18" s="93" t="s">
        <v>319</v>
      </c>
      <c r="S18" s="68"/>
      <c r="T18" s="67"/>
      <c r="U18" s="67"/>
      <c r="V18" s="67"/>
      <c r="W18" s="69"/>
      <c r="X18" s="93" t="s">
        <v>318</v>
      </c>
      <c r="Y18" s="94" t="s">
        <v>318</v>
      </c>
      <c r="Z18" s="93" t="s">
        <v>319</v>
      </c>
      <c r="AA18" s="67"/>
      <c r="AB18" s="67"/>
      <c r="AC18" s="67"/>
      <c r="AD18" s="67"/>
      <c r="AE18" s="67"/>
      <c r="AF18" s="67"/>
      <c r="AG18" s="93"/>
      <c r="AH18" s="93"/>
      <c r="AI18" s="95"/>
      <c r="AJ18" s="95"/>
      <c r="AK18" s="96"/>
      <c r="AL18" s="96"/>
      <c r="AM18" s="97"/>
      <c r="AN18" s="74"/>
      <c r="AO18" s="75"/>
      <c r="AP18" s="76"/>
      <c r="AQ18" s="75"/>
      <c r="AR18" s="93" t="s">
        <v>318</v>
      </c>
      <c r="AS18" s="93" t="s">
        <v>319</v>
      </c>
      <c r="AT18" s="77"/>
      <c r="AU18" s="77"/>
      <c r="AV18" s="77"/>
      <c r="AW18" s="98"/>
      <c r="AX18" s="99"/>
      <c r="AY18" s="80"/>
      <c r="AZ18" s="80"/>
      <c r="BA18" s="100"/>
      <c r="BB18" s="101"/>
      <c r="BC18" s="101"/>
      <c r="BD18" s="81"/>
      <c r="BE18" s="100"/>
      <c r="BO18" s="102"/>
      <c r="BP18" s="103"/>
      <c r="BQ18" s="104"/>
      <c r="BR18" s="105"/>
      <c r="BS18" s="106" t="s">
        <v>320</v>
      </c>
      <c r="BT18" s="107" t="s">
        <v>321</v>
      </c>
      <c r="BU18" s="108" t="s">
        <v>322</v>
      </c>
      <c r="CX18" s="109"/>
      <c r="CY18" s="109"/>
    </row>
    <row r="19" spans="1:103" s="80" customFormat="1" ht="49.5" customHeight="1">
      <c r="A19" s="110" t="s">
        <v>323</v>
      </c>
      <c r="B19" s="111" t="s">
        <v>324</v>
      </c>
      <c r="C19" s="112" t="s">
        <v>325</v>
      </c>
      <c r="D19" s="113" t="s">
        <v>326</v>
      </c>
      <c r="E19" s="113"/>
      <c r="F19" s="113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5"/>
      <c r="T19" s="116"/>
      <c r="U19" s="117"/>
      <c r="V19" s="116"/>
      <c r="W19" s="118"/>
      <c r="X19" s="119"/>
      <c r="Y19" s="120"/>
      <c r="Z19" s="117"/>
      <c r="AA19" s="117"/>
      <c r="AB19" s="117"/>
      <c r="AC19" s="117"/>
      <c r="AD19" s="110"/>
      <c r="AE19" s="110"/>
      <c r="AF19" s="110"/>
      <c r="AG19" s="110"/>
      <c r="AH19" s="110"/>
      <c r="AI19" s="121"/>
      <c r="AJ19" s="121"/>
      <c r="AK19" s="110"/>
      <c r="AL19" s="110"/>
      <c r="AM19" s="122"/>
      <c r="AN19" s="123"/>
      <c r="AO19" s="124"/>
      <c r="AP19" s="118"/>
      <c r="AQ19" s="124"/>
      <c r="AR19" s="125"/>
      <c r="AS19" s="93"/>
      <c r="AT19" s="93"/>
      <c r="AU19" s="93"/>
      <c r="AV19" s="93"/>
      <c r="AW19" s="126"/>
      <c r="AX19" s="127"/>
      <c r="BA19" s="128"/>
      <c r="BB19" s="128"/>
      <c r="BC19" s="128"/>
      <c r="BD19" s="128"/>
      <c r="BE19" s="128"/>
      <c r="BO19" s="129"/>
      <c r="BP19" s="130"/>
      <c r="BQ19" s="131"/>
      <c r="BR19" s="132"/>
      <c r="BS19" s="133"/>
      <c r="BT19" s="134"/>
      <c r="BU19" s="135"/>
      <c r="CX19" s="136"/>
      <c r="CY19" s="109"/>
    </row>
    <row r="20" spans="1:103" s="132" customFormat="1" ht="49.5" customHeight="1">
      <c r="A20" s="117"/>
      <c r="B20" s="137"/>
      <c r="C20" s="138"/>
      <c r="D20" s="139" t="s">
        <v>327</v>
      </c>
      <c r="E20" s="140" t="s">
        <v>328</v>
      </c>
      <c r="F20" s="141" t="s">
        <v>329</v>
      </c>
      <c r="G20" s="142"/>
      <c r="H20" s="142"/>
      <c r="I20" s="142"/>
      <c r="J20" s="142"/>
      <c r="K20" s="142"/>
      <c r="L20" s="143"/>
      <c r="M20" s="144"/>
      <c r="N20" s="144"/>
      <c r="O20" s="144"/>
      <c r="P20" s="144"/>
      <c r="Q20" s="144"/>
      <c r="R20" s="144"/>
      <c r="S20" s="145"/>
      <c r="T20" s="139" t="s">
        <v>330</v>
      </c>
      <c r="U20" s="145"/>
      <c r="V20" s="146"/>
      <c r="W20" s="147"/>
      <c r="X20" s="148"/>
      <c r="Y20" s="148"/>
      <c r="Z20" s="145"/>
      <c r="AA20" s="145"/>
      <c r="AB20" s="145"/>
      <c r="AC20" s="145"/>
      <c r="AD20" s="149"/>
      <c r="AE20" s="149"/>
      <c r="AM20" s="150"/>
      <c r="AN20" s="151" t="s">
        <v>331</v>
      </c>
      <c r="AO20" s="152">
        <v>9</v>
      </c>
      <c r="AP20" s="153" t="s">
        <v>332</v>
      </c>
      <c r="AQ20" s="154">
        <v>37</v>
      </c>
      <c r="AR20" s="152">
        <v>5.6</v>
      </c>
      <c r="AS20" s="155"/>
      <c r="AT20" s="156">
        <f aca="true" t="shared" si="0" ref="AT20:AT51">AR20-X20</f>
        <v>5.6</v>
      </c>
      <c r="AU20" s="157">
        <f aca="true" t="shared" si="1" ref="AU20:AU51">AS20-Z20</f>
        <v>0</v>
      </c>
      <c r="AV20" s="158">
        <f>AT20+AU20</f>
        <v>5.6</v>
      </c>
      <c r="AX20" s="117"/>
      <c r="AY20" s="149"/>
      <c r="AZ20" s="149"/>
      <c r="BA20" s="149"/>
      <c r="BB20" s="149"/>
      <c r="BC20" s="149"/>
      <c r="BD20" s="149"/>
      <c r="BE20" s="149"/>
      <c r="BO20" s="159">
        <f aca="true" t="shared" si="2" ref="BO20:BO40">ROUND(AO20*AQ20/60,1)</f>
        <v>5.6</v>
      </c>
      <c r="BP20" s="160">
        <f>AR20-BO20</f>
        <v>0</v>
      </c>
      <c r="BQ20" s="131"/>
      <c r="BS20" s="133"/>
      <c r="BT20" s="134"/>
      <c r="BU20" s="135"/>
      <c r="CX20" s="161"/>
      <c r="CY20" s="109"/>
    </row>
    <row r="21" spans="1:103" s="80" customFormat="1" ht="57" customHeight="1">
      <c r="A21" s="110">
        <v>1</v>
      </c>
      <c r="B21" s="111" t="s">
        <v>333</v>
      </c>
      <c r="C21" s="112" t="s">
        <v>333</v>
      </c>
      <c r="D21" s="162" t="s">
        <v>327</v>
      </c>
      <c r="E21" s="163" t="s">
        <v>334</v>
      </c>
      <c r="F21" s="164"/>
      <c r="G21" s="162" t="s">
        <v>335</v>
      </c>
      <c r="H21" s="162">
        <v>10</v>
      </c>
      <c r="I21" s="162" t="s">
        <v>336</v>
      </c>
      <c r="J21" s="162">
        <v>520</v>
      </c>
      <c r="K21" s="165">
        <v>86.7</v>
      </c>
      <c r="L21" s="165"/>
      <c r="M21" s="162" t="s">
        <v>335</v>
      </c>
      <c r="N21" s="166">
        <v>10</v>
      </c>
      <c r="O21" s="166" t="s">
        <v>336</v>
      </c>
      <c r="P21" s="166">
        <v>520</v>
      </c>
      <c r="Q21" s="167">
        <v>86.7</v>
      </c>
      <c r="R21" s="168"/>
      <c r="S21" s="115"/>
      <c r="T21" s="162" t="s">
        <v>330</v>
      </c>
      <c r="U21" s="169"/>
      <c r="V21" s="170" t="s">
        <v>336</v>
      </c>
      <c r="W21" s="169">
        <v>390</v>
      </c>
      <c r="X21" s="171">
        <v>65</v>
      </c>
      <c r="Y21" s="172">
        <f>ROUND(U21*W21/60,1)</f>
        <v>0</v>
      </c>
      <c r="Z21" s="166"/>
      <c r="AA21" s="168">
        <f aca="true" t="shared" si="3" ref="AA21:AA44">X21-Q21</f>
        <v>-21.700000000000003</v>
      </c>
      <c r="AB21" s="168"/>
      <c r="AC21" s="168">
        <f aca="true" t="shared" si="4" ref="AC21:AC44">AB21+AA21</f>
        <v>-21.700000000000003</v>
      </c>
      <c r="AD21" s="80" t="s">
        <v>337</v>
      </c>
      <c r="AE21" s="173"/>
      <c r="AF21" s="128"/>
      <c r="AG21" s="128"/>
      <c r="AH21" s="128"/>
      <c r="AI21" s="174"/>
      <c r="AJ21" s="174"/>
      <c r="AM21" s="175">
        <f aca="true" t="shared" si="5" ref="AM21:AM44">X21-Y21</f>
        <v>65</v>
      </c>
      <c r="AN21" s="176" t="s">
        <v>331</v>
      </c>
      <c r="AO21" s="177">
        <v>9.5</v>
      </c>
      <c r="AP21" s="178" t="s">
        <v>336</v>
      </c>
      <c r="AQ21" s="179">
        <v>362</v>
      </c>
      <c r="AR21" s="180">
        <f>AO21*AQ21/60</f>
        <v>57.31666666666667</v>
      </c>
      <c r="AS21" s="124"/>
      <c r="AT21" s="181">
        <f t="shared" si="0"/>
        <v>-7.68333333333333</v>
      </c>
      <c r="AU21" s="182">
        <f t="shared" si="1"/>
        <v>0</v>
      </c>
      <c r="AV21" s="167">
        <f aca="true" t="shared" si="6" ref="AV21:AV82">AT21+AU21</f>
        <v>-7.68333333333333</v>
      </c>
      <c r="AX21" s="110"/>
      <c r="BO21" s="159">
        <f t="shared" si="2"/>
        <v>57.3</v>
      </c>
      <c r="BP21" s="160">
        <f aca="true" t="shared" si="7" ref="BP21:BP82">AR21-BO21</f>
        <v>0.016666666666672825</v>
      </c>
      <c r="BQ21" s="131"/>
      <c r="BR21" s="132"/>
      <c r="BS21" s="133"/>
      <c r="BT21" s="134"/>
      <c r="BU21" s="135"/>
      <c r="CX21" s="136"/>
      <c r="CY21" s="109"/>
    </row>
    <row r="22" spans="1:103" s="80" customFormat="1" ht="45" customHeight="1">
      <c r="A22" s="110">
        <v>1</v>
      </c>
      <c r="B22" s="111" t="s">
        <v>333</v>
      </c>
      <c r="C22" s="112" t="s">
        <v>333</v>
      </c>
      <c r="D22" s="162" t="s">
        <v>327</v>
      </c>
      <c r="E22" s="163" t="s">
        <v>338</v>
      </c>
      <c r="F22" s="164"/>
      <c r="G22" s="162" t="s">
        <v>335</v>
      </c>
      <c r="H22" s="162">
        <v>12</v>
      </c>
      <c r="I22" s="162" t="s">
        <v>339</v>
      </c>
      <c r="J22" s="162">
        <v>260</v>
      </c>
      <c r="K22" s="165">
        <v>52</v>
      </c>
      <c r="L22" s="165"/>
      <c r="M22" s="162" t="s">
        <v>335</v>
      </c>
      <c r="N22" s="166">
        <v>12</v>
      </c>
      <c r="O22" s="166" t="s">
        <v>339</v>
      </c>
      <c r="P22" s="166">
        <v>260</v>
      </c>
      <c r="Q22" s="167">
        <v>52</v>
      </c>
      <c r="R22" s="168"/>
      <c r="S22" s="115"/>
      <c r="T22" s="162" t="s">
        <v>330</v>
      </c>
      <c r="U22" s="169">
        <v>12</v>
      </c>
      <c r="V22" s="170" t="s">
        <v>339</v>
      </c>
      <c r="W22" s="169">
        <v>207</v>
      </c>
      <c r="X22" s="171">
        <v>41.4</v>
      </c>
      <c r="Y22" s="172">
        <f>ROUND(U22*W22/60,1)</f>
        <v>41.4</v>
      </c>
      <c r="Z22" s="166"/>
      <c r="AA22" s="168">
        <f t="shared" si="3"/>
        <v>-10.600000000000001</v>
      </c>
      <c r="AB22" s="168"/>
      <c r="AC22" s="168">
        <f t="shared" si="4"/>
        <v>-10.600000000000001</v>
      </c>
      <c r="AE22" s="173"/>
      <c r="AI22" s="174"/>
      <c r="AJ22" s="174"/>
      <c r="AM22" s="175">
        <f t="shared" si="5"/>
        <v>0</v>
      </c>
      <c r="AN22" s="176" t="s">
        <v>331</v>
      </c>
      <c r="AO22" s="177">
        <v>11.3</v>
      </c>
      <c r="AP22" s="178" t="s">
        <v>339</v>
      </c>
      <c r="AQ22" s="179">
        <v>209</v>
      </c>
      <c r="AR22" s="180">
        <v>39.4</v>
      </c>
      <c r="AS22" s="124"/>
      <c r="AT22" s="181">
        <f t="shared" si="0"/>
        <v>-2</v>
      </c>
      <c r="AU22" s="182">
        <f t="shared" si="1"/>
        <v>0</v>
      </c>
      <c r="AV22" s="167">
        <f t="shared" si="6"/>
        <v>-2</v>
      </c>
      <c r="AX22" s="110"/>
      <c r="BO22" s="159">
        <f t="shared" si="2"/>
        <v>39.4</v>
      </c>
      <c r="BP22" s="160">
        <f t="shared" si="7"/>
        <v>0</v>
      </c>
      <c r="BQ22" s="131"/>
      <c r="BR22" s="132"/>
      <c r="BS22" s="133"/>
      <c r="BT22" s="134"/>
      <c r="BU22" s="135"/>
      <c r="CX22" s="136"/>
      <c r="CY22" s="183"/>
    </row>
    <row r="23" spans="1:103" s="80" customFormat="1" ht="57" customHeight="1">
      <c r="A23" s="110">
        <v>1</v>
      </c>
      <c r="B23" s="111" t="s">
        <v>333</v>
      </c>
      <c r="C23" s="112" t="s">
        <v>333</v>
      </c>
      <c r="D23" s="162" t="s">
        <v>327</v>
      </c>
      <c r="E23" s="163" t="s">
        <v>340</v>
      </c>
      <c r="F23" s="184"/>
      <c r="G23" s="162" t="s">
        <v>335</v>
      </c>
      <c r="H23" s="162">
        <v>25</v>
      </c>
      <c r="I23" s="162" t="s">
        <v>339</v>
      </c>
      <c r="J23" s="162">
        <v>260</v>
      </c>
      <c r="K23" s="165">
        <v>108.3</v>
      </c>
      <c r="L23" s="165"/>
      <c r="M23" s="162" t="s">
        <v>335</v>
      </c>
      <c r="N23" s="166">
        <v>25</v>
      </c>
      <c r="O23" s="166" t="s">
        <v>339</v>
      </c>
      <c r="P23" s="166">
        <v>260</v>
      </c>
      <c r="Q23" s="167">
        <v>108.3</v>
      </c>
      <c r="R23" s="168"/>
      <c r="S23" s="115"/>
      <c r="T23" s="162" t="s">
        <v>330</v>
      </c>
      <c r="U23" s="169">
        <v>12</v>
      </c>
      <c r="V23" s="170" t="s">
        <v>339</v>
      </c>
      <c r="W23" s="169">
        <v>213</v>
      </c>
      <c r="X23" s="171">
        <v>42.6</v>
      </c>
      <c r="Y23" s="172">
        <f>ROUND(U23*W23/60,1)</f>
        <v>42.6</v>
      </c>
      <c r="Z23" s="166"/>
      <c r="AA23" s="168">
        <f t="shared" si="3"/>
        <v>-65.69999999999999</v>
      </c>
      <c r="AB23" s="168"/>
      <c r="AC23" s="168">
        <f t="shared" si="4"/>
        <v>-65.69999999999999</v>
      </c>
      <c r="AE23" s="173"/>
      <c r="AI23" s="174"/>
      <c r="AJ23" s="174"/>
      <c r="AM23" s="175">
        <f t="shared" si="5"/>
        <v>0</v>
      </c>
      <c r="AN23" s="176" t="s">
        <v>331</v>
      </c>
      <c r="AO23" s="177">
        <v>12.77</v>
      </c>
      <c r="AP23" s="178" t="s">
        <v>339</v>
      </c>
      <c r="AQ23" s="179">
        <v>217</v>
      </c>
      <c r="AR23" s="180">
        <v>46.2</v>
      </c>
      <c r="AS23" s="124"/>
      <c r="AT23" s="181">
        <f t="shared" si="0"/>
        <v>3.6000000000000014</v>
      </c>
      <c r="AU23" s="182">
        <f t="shared" si="1"/>
        <v>0</v>
      </c>
      <c r="AV23" s="167">
        <f t="shared" si="6"/>
        <v>3.6000000000000014</v>
      </c>
      <c r="AX23" s="110"/>
      <c r="BO23" s="159">
        <f t="shared" si="2"/>
        <v>46.2</v>
      </c>
      <c r="BP23" s="160">
        <f t="shared" si="7"/>
        <v>0</v>
      </c>
      <c r="BQ23" s="131"/>
      <c r="BR23" s="132"/>
      <c r="BS23" s="133"/>
      <c r="BT23" s="134"/>
      <c r="BU23" s="135"/>
      <c r="CX23" s="136"/>
      <c r="CY23" s="183"/>
    </row>
    <row r="24" spans="1:103" s="80" customFormat="1" ht="75.75" customHeight="1">
      <c r="A24" s="110">
        <v>1</v>
      </c>
      <c r="B24" s="111" t="s">
        <v>333</v>
      </c>
      <c r="C24" s="112" t="s">
        <v>333</v>
      </c>
      <c r="D24" s="162" t="s">
        <v>327</v>
      </c>
      <c r="E24" s="163" t="s">
        <v>341</v>
      </c>
      <c r="F24" s="185" t="s">
        <v>342</v>
      </c>
      <c r="G24" s="162" t="s">
        <v>335</v>
      </c>
      <c r="H24" s="162">
        <v>20</v>
      </c>
      <c r="I24" s="162" t="s">
        <v>343</v>
      </c>
      <c r="J24" s="162">
        <v>104</v>
      </c>
      <c r="K24" s="165">
        <v>34.7</v>
      </c>
      <c r="L24" s="165"/>
      <c r="M24" s="162" t="s">
        <v>335</v>
      </c>
      <c r="N24" s="166">
        <v>20</v>
      </c>
      <c r="O24" s="166" t="s">
        <v>343</v>
      </c>
      <c r="P24" s="166">
        <v>104</v>
      </c>
      <c r="Q24" s="167">
        <v>34.7</v>
      </c>
      <c r="R24" s="168"/>
      <c r="S24" s="115"/>
      <c r="T24" s="162" t="s">
        <v>330</v>
      </c>
      <c r="U24" s="169">
        <v>20</v>
      </c>
      <c r="V24" s="170" t="s">
        <v>332</v>
      </c>
      <c r="W24" s="169">
        <v>365</v>
      </c>
      <c r="X24" s="171">
        <v>121.7</v>
      </c>
      <c r="Y24" s="172">
        <f>ROUND(U24*W24/60,1)</f>
        <v>121.7</v>
      </c>
      <c r="Z24" s="166"/>
      <c r="AA24" s="168">
        <f t="shared" si="3"/>
        <v>87</v>
      </c>
      <c r="AB24" s="168"/>
      <c r="AC24" s="168">
        <f t="shared" si="4"/>
        <v>87</v>
      </c>
      <c r="AE24" s="173"/>
      <c r="AI24" s="174"/>
      <c r="AJ24" s="174"/>
      <c r="AM24" s="175">
        <f t="shared" si="5"/>
        <v>0</v>
      </c>
      <c r="AN24" s="176" t="s">
        <v>331</v>
      </c>
      <c r="AO24" s="177">
        <v>20.4</v>
      </c>
      <c r="AP24" s="178" t="s">
        <v>332</v>
      </c>
      <c r="AQ24" s="179">
        <v>365</v>
      </c>
      <c r="AR24" s="180">
        <v>124.1</v>
      </c>
      <c r="AS24" s="124"/>
      <c r="AT24" s="181">
        <f t="shared" si="0"/>
        <v>2.3999999999999915</v>
      </c>
      <c r="AU24" s="182">
        <f t="shared" si="1"/>
        <v>0</v>
      </c>
      <c r="AV24" s="167">
        <f t="shared" si="6"/>
        <v>2.3999999999999915</v>
      </c>
      <c r="AX24" s="110"/>
      <c r="BO24" s="159">
        <f t="shared" si="2"/>
        <v>124.1</v>
      </c>
      <c r="BP24" s="160">
        <f t="shared" si="7"/>
        <v>0</v>
      </c>
      <c r="BQ24" s="131"/>
      <c r="BR24" s="132"/>
      <c r="BS24" s="133"/>
      <c r="BT24" s="134"/>
      <c r="BU24" s="135"/>
      <c r="CX24" s="136"/>
      <c r="CY24" s="183"/>
    </row>
    <row r="25" spans="1:103" s="80" customFormat="1" ht="41.25" customHeight="1">
      <c r="A25" s="110">
        <v>1</v>
      </c>
      <c r="B25" s="111" t="s">
        <v>333</v>
      </c>
      <c r="C25" s="112" t="s">
        <v>333</v>
      </c>
      <c r="D25" s="162" t="s">
        <v>344</v>
      </c>
      <c r="E25" s="163" t="s">
        <v>345</v>
      </c>
      <c r="F25" s="186"/>
      <c r="G25" s="162"/>
      <c r="H25" s="162"/>
      <c r="I25" s="162"/>
      <c r="J25" s="162"/>
      <c r="K25" s="165"/>
      <c r="L25" s="165"/>
      <c r="M25" s="162"/>
      <c r="N25" s="166"/>
      <c r="O25" s="166"/>
      <c r="P25" s="166"/>
      <c r="Q25" s="167"/>
      <c r="R25" s="168"/>
      <c r="S25" s="115"/>
      <c r="T25" s="162" t="s">
        <v>330</v>
      </c>
      <c r="U25" s="169"/>
      <c r="V25" s="170"/>
      <c r="W25" s="169"/>
      <c r="X25" s="187">
        <v>5.2</v>
      </c>
      <c r="Y25" s="188">
        <v>5.2</v>
      </c>
      <c r="Z25" s="166"/>
      <c r="AA25" s="168">
        <f t="shared" si="3"/>
        <v>5.2</v>
      </c>
      <c r="AB25" s="168"/>
      <c r="AC25" s="168">
        <f t="shared" si="4"/>
        <v>5.2</v>
      </c>
      <c r="AE25" s="173"/>
      <c r="AI25" s="174"/>
      <c r="AJ25" s="174"/>
      <c r="AM25" s="175">
        <f t="shared" si="5"/>
        <v>0</v>
      </c>
      <c r="AN25" s="176" t="s">
        <v>331</v>
      </c>
      <c r="AO25" s="177"/>
      <c r="AP25" s="189"/>
      <c r="AQ25" s="179">
        <f>3+1</f>
        <v>4</v>
      </c>
      <c r="AR25" s="180">
        <f>3.9+0.4</f>
        <v>4.3</v>
      </c>
      <c r="AS25" s="124"/>
      <c r="AT25" s="181">
        <f t="shared" si="0"/>
        <v>-0.9000000000000004</v>
      </c>
      <c r="AU25" s="182">
        <f t="shared" si="1"/>
        <v>0</v>
      </c>
      <c r="AV25" s="167">
        <f t="shared" si="6"/>
        <v>-0.9000000000000004</v>
      </c>
      <c r="AX25" s="110"/>
      <c r="BO25" s="159">
        <f t="shared" si="2"/>
        <v>0</v>
      </c>
      <c r="BP25" s="160">
        <f t="shared" si="7"/>
        <v>4.3</v>
      </c>
      <c r="BQ25" s="131"/>
      <c r="BR25" s="132"/>
      <c r="BS25" s="133"/>
      <c r="BT25" s="134"/>
      <c r="BU25" s="135"/>
      <c r="BX25" s="190"/>
      <c r="CX25" s="136"/>
      <c r="CY25" s="183"/>
    </row>
    <row r="26" spans="1:103" s="132" customFormat="1" ht="66" customHeight="1">
      <c r="A26" s="117"/>
      <c r="B26" s="137"/>
      <c r="C26" s="138"/>
      <c r="D26" s="166" t="s">
        <v>346</v>
      </c>
      <c r="E26" s="191" t="s">
        <v>347</v>
      </c>
      <c r="F26" s="192" t="s">
        <v>348</v>
      </c>
      <c r="G26" s="166"/>
      <c r="H26" s="166"/>
      <c r="I26" s="166"/>
      <c r="J26" s="166"/>
      <c r="K26" s="168"/>
      <c r="L26" s="168"/>
      <c r="M26" s="166"/>
      <c r="N26" s="166"/>
      <c r="O26" s="166"/>
      <c r="P26" s="166"/>
      <c r="Q26" s="167"/>
      <c r="R26" s="168"/>
      <c r="S26" s="117"/>
      <c r="T26" s="166"/>
      <c r="U26" s="169"/>
      <c r="V26" s="170"/>
      <c r="W26" s="169"/>
      <c r="X26" s="187"/>
      <c r="Y26" s="193"/>
      <c r="Z26" s="166"/>
      <c r="AA26" s="168"/>
      <c r="AB26" s="168"/>
      <c r="AC26" s="168"/>
      <c r="AE26" s="194"/>
      <c r="AM26" s="150"/>
      <c r="AN26" s="195" t="s">
        <v>331</v>
      </c>
      <c r="AO26" s="180">
        <v>10</v>
      </c>
      <c r="AP26" s="196" t="s">
        <v>349</v>
      </c>
      <c r="AQ26" s="197">
        <v>15</v>
      </c>
      <c r="AR26" s="180">
        <v>2.5</v>
      </c>
      <c r="AS26" s="124"/>
      <c r="AT26" s="181">
        <f t="shared" si="0"/>
        <v>2.5</v>
      </c>
      <c r="AU26" s="182">
        <f t="shared" si="1"/>
        <v>0</v>
      </c>
      <c r="AV26" s="167">
        <f t="shared" si="6"/>
        <v>2.5</v>
      </c>
      <c r="AX26" s="117"/>
      <c r="BO26" s="198">
        <f t="shared" si="2"/>
        <v>2.5</v>
      </c>
      <c r="BP26" s="160">
        <f t="shared" si="7"/>
        <v>0</v>
      </c>
      <c r="BS26" s="199"/>
      <c r="CX26" s="161"/>
      <c r="CY26" s="200"/>
    </row>
    <row r="27" spans="1:103" s="132" customFormat="1" ht="60.75" customHeight="1">
      <c r="A27" s="117"/>
      <c r="B27" s="137"/>
      <c r="C27" s="138"/>
      <c r="D27" s="166" t="s">
        <v>350</v>
      </c>
      <c r="E27" s="201" t="s">
        <v>351</v>
      </c>
      <c r="F27" s="202" t="s">
        <v>352</v>
      </c>
      <c r="G27" s="166"/>
      <c r="H27" s="166"/>
      <c r="I27" s="166"/>
      <c r="J27" s="166"/>
      <c r="K27" s="168"/>
      <c r="L27" s="168"/>
      <c r="M27" s="166"/>
      <c r="N27" s="166"/>
      <c r="O27" s="166"/>
      <c r="P27" s="166"/>
      <c r="Q27" s="167"/>
      <c r="R27" s="168"/>
      <c r="S27" s="117"/>
      <c r="T27" s="166"/>
      <c r="U27" s="169"/>
      <c r="V27" s="170"/>
      <c r="W27" s="169"/>
      <c r="X27" s="187"/>
      <c r="Y27" s="193"/>
      <c r="Z27" s="166"/>
      <c r="AA27" s="168"/>
      <c r="AB27" s="168"/>
      <c r="AC27" s="168"/>
      <c r="AE27" s="194"/>
      <c r="AM27" s="150"/>
      <c r="AN27" s="195" t="s">
        <v>331</v>
      </c>
      <c r="AO27" s="180">
        <v>19</v>
      </c>
      <c r="AP27" s="196" t="s">
        <v>353</v>
      </c>
      <c r="AQ27" s="197">
        <v>3</v>
      </c>
      <c r="AR27" s="180">
        <v>1</v>
      </c>
      <c r="AS27" s="124"/>
      <c r="AT27" s="181">
        <f t="shared" si="0"/>
        <v>1</v>
      </c>
      <c r="AU27" s="182">
        <f t="shared" si="1"/>
        <v>0</v>
      </c>
      <c r="AV27" s="167">
        <f t="shared" si="6"/>
        <v>1</v>
      </c>
      <c r="AX27" s="117"/>
      <c r="BO27" s="198">
        <f t="shared" si="2"/>
        <v>1</v>
      </c>
      <c r="BP27" s="160">
        <f t="shared" si="7"/>
        <v>0</v>
      </c>
      <c r="BS27" s="199"/>
      <c r="CX27" s="161"/>
      <c r="CY27" s="200"/>
    </row>
    <row r="28" spans="1:103" s="132" customFormat="1" ht="49.5" customHeight="1">
      <c r="A28" s="117"/>
      <c r="B28" s="137"/>
      <c r="C28" s="138"/>
      <c r="D28" s="166" t="s">
        <v>354</v>
      </c>
      <c r="E28" s="201" t="s">
        <v>351</v>
      </c>
      <c r="F28" s="203"/>
      <c r="G28" s="166"/>
      <c r="H28" s="166"/>
      <c r="I28" s="166"/>
      <c r="J28" s="166"/>
      <c r="K28" s="168"/>
      <c r="L28" s="168"/>
      <c r="M28" s="166"/>
      <c r="N28" s="166"/>
      <c r="O28" s="166"/>
      <c r="P28" s="166"/>
      <c r="Q28" s="167"/>
      <c r="R28" s="168"/>
      <c r="S28" s="117"/>
      <c r="T28" s="166"/>
      <c r="U28" s="169"/>
      <c r="V28" s="170"/>
      <c r="W28" s="169"/>
      <c r="X28" s="187"/>
      <c r="Y28" s="193"/>
      <c r="Z28" s="166"/>
      <c r="AA28" s="168"/>
      <c r="AB28" s="168"/>
      <c r="AC28" s="168"/>
      <c r="AE28" s="194"/>
      <c r="AM28" s="150"/>
      <c r="AN28" s="195" t="s">
        <v>331</v>
      </c>
      <c r="AO28" s="180">
        <v>7</v>
      </c>
      <c r="AP28" s="196" t="s">
        <v>355</v>
      </c>
      <c r="AQ28" s="197">
        <v>14</v>
      </c>
      <c r="AR28" s="180">
        <v>1.6</v>
      </c>
      <c r="AS28" s="124"/>
      <c r="AT28" s="181">
        <f t="shared" si="0"/>
        <v>1.6</v>
      </c>
      <c r="AU28" s="182">
        <f t="shared" si="1"/>
        <v>0</v>
      </c>
      <c r="AV28" s="167">
        <f t="shared" si="6"/>
        <v>1.6</v>
      </c>
      <c r="AX28" s="117"/>
      <c r="BO28" s="198">
        <f t="shared" si="2"/>
        <v>1.6</v>
      </c>
      <c r="BP28" s="160">
        <f t="shared" si="7"/>
        <v>0</v>
      </c>
      <c r="BS28" s="199"/>
      <c r="CX28" s="161"/>
      <c r="CY28" s="200"/>
    </row>
    <row r="29" spans="1:103" s="80" customFormat="1" ht="44.25" customHeight="1">
      <c r="A29" s="110">
        <v>9</v>
      </c>
      <c r="B29" s="111" t="s">
        <v>333</v>
      </c>
      <c r="C29" s="112" t="s">
        <v>333</v>
      </c>
      <c r="D29" s="162" t="s">
        <v>356</v>
      </c>
      <c r="E29" s="163" t="s">
        <v>357</v>
      </c>
      <c r="F29" s="204" t="s">
        <v>358</v>
      </c>
      <c r="G29" s="162" t="s">
        <v>335</v>
      </c>
      <c r="H29" s="162">
        <v>10</v>
      </c>
      <c r="I29" s="162" t="s">
        <v>359</v>
      </c>
      <c r="J29" s="162">
        <v>312</v>
      </c>
      <c r="K29" s="165">
        <v>52</v>
      </c>
      <c r="L29" s="165"/>
      <c r="M29" s="162" t="s">
        <v>335</v>
      </c>
      <c r="N29" s="166">
        <v>10</v>
      </c>
      <c r="O29" s="166" t="s">
        <v>359</v>
      </c>
      <c r="P29" s="205">
        <f>45+7+6*38</f>
        <v>280</v>
      </c>
      <c r="Q29" s="206">
        <f>ROUND(N29*P29/60,1)</f>
        <v>46.7</v>
      </c>
      <c r="R29" s="207"/>
      <c r="S29" s="208">
        <f>Q29-K29</f>
        <v>-5.299999999999997</v>
      </c>
      <c r="T29" s="162" t="s">
        <v>330</v>
      </c>
      <c r="U29" s="205">
        <v>8</v>
      </c>
      <c r="V29" s="209" t="s">
        <v>360</v>
      </c>
      <c r="W29" s="205">
        <v>258</v>
      </c>
      <c r="X29" s="206">
        <v>34.4</v>
      </c>
      <c r="Y29" s="172">
        <f aca="true" t="shared" si="8" ref="Y29:Y40">ROUND(U29*W29/60,1)</f>
        <v>34.4</v>
      </c>
      <c r="Z29" s="210"/>
      <c r="AA29" s="168">
        <f t="shared" si="3"/>
        <v>-12.300000000000004</v>
      </c>
      <c r="AB29" s="168"/>
      <c r="AC29" s="168">
        <f t="shared" si="4"/>
        <v>-12.300000000000004</v>
      </c>
      <c r="AE29" s="211"/>
      <c r="AI29" s="174"/>
      <c r="AJ29" s="174"/>
      <c r="AM29" s="175">
        <f t="shared" si="5"/>
        <v>0</v>
      </c>
      <c r="AN29" s="176" t="s">
        <v>331</v>
      </c>
      <c r="AO29" s="177">
        <v>7.8</v>
      </c>
      <c r="AP29" s="189" t="s">
        <v>361</v>
      </c>
      <c r="AQ29" s="179">
        <v>252</v>
      </c>
      <c r="AR29" s="180">
        <v>32.8</v>
      </c>
      <c r="AS29" s="124"/>
      <c r="AT29" s="181">
        <f t="shared" si="0"/>
        <v>-1.6000000000000014</v>
      </c>
      <c r="AU29" s="182">
        <f t="shared" si="1"/>
        <v>0</v>
      </c>
      <c r="AV29" s="167">
        <f t="shared" si="6"/>
        <v>-1.6000000000000014</v>
      </c>
      <c r="AX29" s="110"/>
      <c r="BO29" s="159">
        <f t="shared" si="2"/>
        <v>32.8</v>
      </c>
      <c r="BP29" s="160">
        <f t="shared" si="7"/>
        <v>0</v>
      </c>
      <c r="BQ29" s="131"/>
      <c r="BR29" s="132"/>
      <c r="BS29" s="133"/>
      <c r="BT29" s="134"/>
      <c r="BU29" s="135"/>
      <c r="CX29" s="136"/>
      <c r="CY29" s="183"/>
    </row>
    <row r="30" spans="1:103" s="80" customFormat="1" ht="54.75" customHeight="1">
      <c r="A30" s="110">
        <v>9</v>
      </c>
      <c r="B30" s="111" t="s">
        <v>333</v>
      </c>
      <c r="C30" s="112" t="s">
        <v>333</v>
      </c>
      <c r="D30" s="162" t="s">
        <v>362</v>
      </c>
      <c r="E30" s="163" t="s">
        <v>363</v>
      </c>
      <c r="F30" s="212"/>
      <c r="G30" s="162" t="s">
        <v>335</v>
      </c>
      <c r="H30" s="162">
        <v>4</v>
      </c>
      <c r="I30" s="162" t="s">
        <v>359</v>
      </c>
      <c r="J30" s="162">
        <v>312</v>
      </c>
      <c r="K30" s="165">
        <v>20.8</v>
      </c>
      <c r="L30" s="165"/>
      <c r="M30" s="162" t="s">
        <v>335</v>
      </c>
      <c r="N30" s="166">
        <v>4</v>
      </c>
      <c r="O30" s="166" t="s">
        <v>359</v>
      </c>
      <c r="P30" s="205">
        <f>45+7+6*38</f>
        <v>280</v>
      </c>
      <c r="Q30" s="206">
        <f>ROUND(N30*P30/60,1)</f>
        <v>18.7</v>
      </c>
      <c r="R30" s="207"/>
      <c r="S30" s="208">
        <f>Q30-K30</f>
        <v>-2.1000000000000014</v>
      </c>
      <c r="T30" s="162" t="s">
        <v>330</v>
      </c>
      <c r="U30" s="205">
        <v>4</v>
      </c>
      <c r="V30" s="209" t="s">
        <v>360</v>
      </c>
      <c r="W30" s="205">
        <v>207</v>
      </c>
      <c r="X30" s="206">
        <v>13.8</v>
      </c>
      <c r="Y30" s="172">
        <f t="shared" si="8"/>
        <v>13.8</v>
      </c>
      <c r="Z30" s="210"/>
      <c r="AA30" s="168">
        <f t="shared" si="3"/>
        <v>-4.899999999999999</v>
      </c>
      <c r="AB30" s="168"/>
      <c r="AC30" s="168">
        <f t="shared" si="4"/>
        <v>-4.899999999999999</v>
      </c>
      <c r="AE30" s="128"/>
      <c r="AI30" s="174"/>
      <c r="AJ30" s="174"/>
      <c r="AM30" s="175">
        <f t="shared" si="5"/>
        <v>0</v>
      </c>
      <c r="AN30" s="176" t="s">
        <v>331</v>
      </c>
      <c r="AO30" s="177">
        <v>3.6</v>
      </c>
      <c r="AP30" s="189" t="s">
        <v>364</v>
      </c>
      <c r="AQ30" s="179">
        <v>202</v>
      </c>
      <c r="AR30" s="180">
        <v>12.1</v>
      </c>
      <c r="AS30" s="124"/>
      <c r="AT30" s="181">
        <f t="shared" si="0"/>
        <v>-1.700000000000001</v>
      </c>
      <c r="AU30" s="182">
        <f t="shared" si="1"/>
        <v>0</v>
      </c>
      <c r="AV30" s="167">
        <f t="shared" si="6"/>
        <v>-1.700000000000001</v>
      </c>
      <c r="AX30" s="110"/>
      <c r="BO30" s="159">
        <f t="shared" si="2"/>
        <v>12.1</v>
      </c>
      <c r="BP30" s="160">
        <f t="shared" si="7"/>
        <v>0</v>
      </c>
      <c r="BQ30" s="131"/>
      <c r="BR30" s="132"/>
      <c r="BS30" s="133"/>
      <c r="BT30" s="134"/>
      <c r="BU30" s="135"/>
      <c r="CX30" s="136"/>
      <c r="CY30" s="183"/>
    </row>
    <row r="31" spans="1:103" s="80" customFormat="1" ht="36" customHeight="1">
      <c r="A31" s="110">
        <v>1</v>
      </c>
      <c r="B31" s="111" t="s">
        <v>333</v>
      </c>
      <c r="C31" s="112" t="s">
        <v>333</v>
      </c>
      <c r="D31" s="162" t="s">
        <v>365</v>
      </c>
      <c r="E31" s="163" t="s">
        <v>366</v>
      </c>
      <c r="F31" s="213" t="s">
        <v>367</v>
      </c>
      <c r="G31" s="162" t="s">
        <v>335</v>
      </c>
      <c r="H31" s="162">
        <v>3</v>
      </c>
      <c r="I31" s="162" t="s">
        <v>368</v>
      </c>
      <c r="J31" s="162">
        <v>730</v>
      </c>
      <c r="K31" s="165">
        <v>36.5</v>
      </c>
      <c r="L31" s="165"/>
      <c r="M31" s="162" t="s">
        <v>335</v>
      </c>
      <c r="N31" s="166">
        <v>3</v>
      </c>
      <c r="O31" s="166" t="s">
        <v>368</v>
      </c>
      <c r="P31" s="166">
        <v>730</v>
      </c>
      <c r="Q31" s="167">
        <v>36.5</v>
      </c>
      <c r="R31" s="168"/>
      <c r="S31" s="115"/>
      <c r="T31" s="162" t="s">
        <v>330</v>
      </c>
      <c r="U31" s="169">
        <v>3</v>
      </c>
      <c r="V31" s="170" t="s">
        <v>368</v>
      </c>
      <c r="W31" s="169">
        <v>534</v>
      </c>
      <c r="X31" s="193">
        <v>26.7</v>
      </c>
      <c r="Y31" s="172">
        <f t="shared" si="8"/>
        <v>26.7</v>
      </c>
      <c r="Z31" s="166"/>
      <c r="AA31" s="168">
        <f t="shared" si="3"/>
        <v>-9.8</v>
      </c>
      <c r="AB31" s="168"/>
      <c r="AC31" s="168">
        <f t="shared" si="4"/>
        <v>-9.8</v>
      </c>
      <c r="AE31" s="128"/>
      <c r="AI31" s="174"/>
      <c r="AJ31" s="174"/>
      <c r="AM31" s="175">
        <f t="shared" si="5"/>
        <v>0</v>
      </c>
      <c r="AN31" s="176" t="s">
        <v>331</v>
      </c>
      <c r="AO31" s="177">
        <v>3</v>
      </c>
      <c r="AP31" s="178" t="s">
        <v>369</v>
      </c>
      <c r="AQ31" s="179">
        <v>467</v>
      </c>
      <c r="AR31" s="180">
        <v>23.4</v>
      </c>
      <c r="AS31" s="124"/>
      <c r="AT31" s="181">
        <f t="shared" si="0"/>
        <v>-3.3000000000000007</v>
      </c>
      <c r="AU31" s="182">
        <f t="shared" si="1"/>
        <v>0</v>
      </c>
      <c r="AV31" s="167">
        <f t="shared" si="6"/>
        <v>-3.3000000000000007</v>
      </c>
      <c r="AX31" s="110"/>
      <c r="BO31" s="159">
        <f t="shared" si="2"/>
        <v>23.4</v>
      </c>
      <c r="BP31" s="160">
        <f t="shared" si="7"/>
        <v>0</v>
      </c>
      <c r="BQ31" s="131"/>
      <c r="BR31" s="132"/>
      <c r="BS31" s="133"/>
      <c r="BT31" s="134"/>
      <c r="BU31" s="135"/>
      <c r="CX31" s="136"/>
      <c r="CY31" s="183"/>
    </row>
    <row r="32" spans="1:103" s="80" customFormat="1" ht="59.25" customHeight="1">
      <c r="A32" s="110">
        <v>1</v>
      </c>
      <c r="B32" s="111" t="s">
        <v>333</v>
      </c>
      <c r="C32" s="112" t="s">
        <v>333</v>
      </c>
      <c r="D32" s="162" t="s">
        <v>370</v>
      </c>
      <c r="E32" s="163" t="s">
        <v>371</v>
      </c>
      <c r="F32" s="204" t="s">
        <v>372</v>
      </c>
      <c r="G32" s="162" t="s">
        <v>335</v>
      </c>
      <c r="H32" s="162">
        <v>8</v>
      </c>
      <c r="I32" s="162" t="s">
        <v>373</v>
      </c>
      <c r="J32" s="162">
        <v>780</v>
      </c>
      <c r="K32" s="165">
        <v>104</v>
      </c>
      <c r="L32" s="165"/>
      <c r="M32" s="162" t="s">
        <v>335</v>
      </c>
      <c r="N32" s="166">
        <v>8</v>
      </c>
      <c r="O32" s="166" t="s">
        <v>373</v>
      </c>
      <c r="P32" s="205">
        <f>118+3*5*39</f>
        <v>703</v>
      </c>
      <c r="Q32" s="206">
        <f>ROUND(N32*P32/60,1)</f>
        <v>93.7</v>
      </c>
      <c r="R32" s="207"/>
      <c r="S32" s="208">
        <f aca="true" t="shared" si="9" ref="S32:S42">Q32-K32</f>
        <v>-10.299999999999997</v>
      </c>
      <c r="T32" s="162" t="s">
        <v>330</v>
      </c>
      <c r="U32" s="169">
        <v>8</v>
      </c>
      <c r="V32" s="170" t="s">
        <v>373</v>
      </c>
      <c r="W32" s="205">
        <v>640</v>
      </c>
      <c r="X32" s="206">
        <v>85.3</v>
      </c>
      <c r="Y32" s="214">
        <f t="shared" si="8"/>
        <v>85.3</v>
      </c>
      <c r="Z32" s="210"/>
      <c r="AA32" s="168">
        <f t="shared" si="3"/>
        <v>-8.400000000000006</v>
      </c>
      <c r="AB32" s="168"/>
      <c r="AC32" s="168">
        <f t="shared" si="4"/>
        <v>-8.400000000000006</v>
      </c>
      <c r="AE32" s="128"/>
      <c r="AI32" s="174"/>
      <c r="AJ32" s="174"/>
      <c r="AM32" s="175">
        <f t="shared" si="5"/>
        <v>0</v>
      </c>
      <c r="AN32" s="176" t="s">
        <v>331</v>
      </c>
      <c r="AO32" s="177">
        <f>AR32/AQ32*60</f>
        <v>8.22754491017964</v>
      </c>
      <c r="AP32" s="178" t="s">
        <v>374</v>
      </c>
      <c r="AQ32" s="179">
        <v>668</v>
      </c>
      <c r="AR32" s="180">
        <v>91.6</v>
      </c>
      <c r="AS32" s="124"/>
      <c r="AT32" s="181">
        <f t="shared" si="0"/>
        <v>6.299999999999997</v>
      </c>
      <c r="AU32" s="182">
        <f t="shared" si="1"/>
        <v>0</v>
      </c>
      <c r="AV32" s="167">
        <f t="shared" si="6"/>
        <v>6.299999999999997</v>
      </c>
      <c r="AX32" s="110"/>
      <c r="BO32" s="159">
        <f t="shared" si="2"/>
        <v>91.6</v>
      </c>
      <c r="BP32" s="160">
        <f t="shared" si="7"/>
        <v>0</v>
      </c>
      <c r="BQ32" s="131"/>
      <c r="BR32" s="132"/>
      <c r="BS32" s="133"/>
      <c r="BT32" s="134"/>
      <c r="BU32" s="135"/>
      <c r="CX32" s="136"/>
      <c r="CY32" s="183"/>
    </row>
    <row r="33" spans="1:103" s="80" customFormat="1" ht="45" customHeight="1">
      <c r="A33" s="110">
        <v>1</v>
      </c>
      <c r="B33" s="111" t="s">
        <v>333</v>
      </c>
      <c r="C33" s="112" t="s">
        <v>333</v>
      </c>
      <c r="D33" s="162" t="s">
        <v>375</v>
      </c>
      <c r="E33" s="163" t="s">
        <v>376</v>
      </c>
      <c r="F33" s="212"/>
      <c r="G33" s="162" t="s">
        <v>335</v>
      </c>
      <c r="H33" s="162">
        <v>35</v>
      </c>
      <c r="I33" s="162" t="s">
        <v>377</v>
      </c>
      <c r="J33" s="162">
        <v>52</v>
      </c>
      <c r="K33" s="165">
        <v>30.3</v>
      </c>
      <c r="L33" s="165"/>
      <c r="M33" s="162" t="s">
        <v>335</v>
      </c>
      <c r="N33" s="166">
        <v>35</v>
      </c>
      <c r="O33" s="166" t="s">
        <v>377</v>
      </c>
      <c r="P33" s="205">
        <f>8+39</f>
        <v>47</v>
      </c>
      <c r="Q33" s="206">
        <f>ROUND(N33*P33/60,1)</f>
        <v>27.4</v>
      </c>
      <c r="R33" s="207"/>
      <c r="S33" s="208">
        <f t="shared" si="9"/>
        <v>-2.900000000000002</v>
      </c>
      <c r="T33" s="162" t="s">
        <v>330</v>
      </c>
      <c r="U33" s="169">
        <v>35</v>
      </c>
      <c r="V33" s="170" t="s">
        <v>377</v>
      </c>
      <c r="W33" s="205">
        <v>53</v>
      </c>
      <c r="X33" s="206">
        <v>30.9</v>
      </c>
      <c r="Y33" s="172">
        <f t="shared" si="8"/>
        <v>30.9</v>
      </c>
      <c r="Z33" s="210"/>
      <c r="AA33" s="168">
        <f t="shared" si="3"/>
        <v>3.5</v>
      </c>
      <c r="AB33" s="168"/>
      <c r="AC33" s="168">
        <f t="shared" si="4"/>
        <v>3.5</v>
      </c>
      <c r="AE33" s="128"/>
      <c r="AI33" s="174"/>
      <c r="AJ33" s="174"/>
      <c r="AM33" s="175">
        <f t="shared" si="5"/>
        <v>0</v>
      </c>
      <c r="AN33" s="176" t="s">
        <v>331</v>
      </c>
      <c r="AO33" s="177">
        <v>37.6</v>
      </c>
      <c r="AP33" s="178" t="s">
        <v>377</v>
      </c>
      <c r="AQ33" s="179">
        <v>49</v>
      </c>
      <c r="AR33" s="180">
        <v>30.7</v>
      </c>
      <c r="AS33" s="124"/>
      <c r="AT33" s="181">
        <f t="shared" si="0"/>
        <v>-0.1999999999999993</v>
      </c>
      <c r="AU33" s="182">
        <f t="shared" si="1"/>
        <v>0</v>
      </c>
      <c r="AV33" s="167">
        <f t="shared" si="6"/>
        <v>-0.1999999999999993</v>
      </c>
      <c r="AX33" s="110"/>
      <c r="BO33" s="159">
        <f t="shared" si="2"/>
        <v>30.7</v>
      </c>
      <c r="BP33" s="160">
        <f t="shared" si="7"/>
        <v>0</v>
      </c>
      <c r="BQ33" s="131"/>
      <c r="BR33" s="132"/>
      <c r="BS33" s="133"/>
      <c r="BT33" s="134"/>
      <c r="BU33" s="135"/>
      <c r="CX33" s="136"/>
      <c r="CY33" s="183"/>
    </row>
    <row r="34" spans="1:103" s="80" customFormat="1" ht="109.5" customHeight="1">
      <c r="A34" s="110">
        <v>1</v>
      </c>
      <c r="B34" s="111" t="s">
        <v>333</v>
      </c>
      <c r="C34" s="112" t="s">
        <v>333</v>
      </c>
      <c r="D34" s="162" t="s">
        <v>378</v>
      </c>
      <c r="E34" s="163" t="s">
        <v>379</v>
      </c>
      <c r="F34" s="213" t="s">
        <v>380</v>
      </c>
      <c r="G34" s="162" t="s">
        <v>335</v>
      </c>
      <c r="H34" s="162">
        <v>15</v>
      </c>
      <c r="I34" s="162" t="s">
        <v>339</v>
      </c>
      <c r="J34" s="162">
        <v>260</v>
      </c>
      <c r="K34" s="165">
        <v>65</v>
      </c>
      <c r="L34" s="165"/>
      <c r="M34" s="162" t="s">
        <v>335</v>
      </c>
      <c r="N34" s="166">
        <v>15</v>
      </c>
      <c r="O34" s="166" t="s">
        <v>339</v>
      </c>
      <c r="P34" s="205">
        <f>34+10+5*39</f>
        <v>239</v>
      </c>
      <c r="Q34" s="206">
        <f>ROUND(N34*P34/60,1)</f>
        <v>59.8</v>
      </c>
      <c r="R34" s="207"/>
      <c r="S34" s="208">
        <f t="shared" si="9"/>
        <v>-5.200000000000003</v>
      </c>
      <c r="T34" s="162" t="s">
        <v>330</v>
      </c>
      <c r="U34" s="169">
        <v>15</v>
      </c>
      <c r="V34" s="170" t="s">
        <v>381</v>
      </c>
      <c r="W34" s="205">
        <v>167</v>
      </c>
      <c r="X34" s="206">
        <v>41.8</v>
      </c>
      <c r="Y34" s="172">
        <f t="shared" si="8"/>
        <v>41.8</v>
      </c>
      <c r="Z34" s="210"/>
      <c r="AA34" s="168">
        <f t="shared" si="3"/>
        <v>-18</v>
      </c>
      <c r="AB34" s="168"/>
      <c r="AC34" s="168">
        <f t="shared" si="4"/>
        <v>-18</v>
      </c>
      <c r="AE34" s="128"/>
      <c r="AI34" s="174"/>
      <c r="AJ34" s="174"/>
      <c r="AM34" s="175">
        <f t="shared" si="5"/>
        <v>0</v>
      </c>
      <c r="AN34" s="176" t="s">
        <v>331</v>
      </c>
      <c r="AO34" s="177">
        <v>15.4</v>
      </c>
      <c r="AP34" s="178" t="s">
        <v>382</v>
      </c>
      <c r="AQ34" s="179">
        <v>156</v>
      </c>
      <c r="AR34" s="180">
        <v>40</v>
      </c>
      <c r="AS34" s="124"/>
      <c r="AT34" s="181">
        <f t="shared" si="0"/>
        <v>-1.7999999999999972</v>
      </c>
      <c r="AU34" s="182">
        <f t="shared" si="1"/>
        <v>0</v>
      </c>
      <c r="AV34" s="167">
        <f t="shared" si="6"/>
        <v>-1.7999999999999972</v>
      </c>
      <c r="AX34" s="110"/>
      <c r="BO34" s="159">
        <f t="shared" si="2"/>
        <v>40</v>
      </c>
      <c r="BP34" s="160">
        <f t="shared" si="7"/>
        <v>0</v>
      </c>
      <c r="BQ34" s="131"/>
      <c r="BR34" s="132"/>
      <c r="BS34" s="133"/>
      <c r="BT34" s="134"/>
      <c r="BU34" s="135"/>
      <c r="CX34" s="136"/>
      <c r="CY34" s="183"/>
    </row>
    <row r="35" spans="1:103" s="80" customFormat="1" ht="106.5" customHeight="1">
      <c r="A35" s="110">
        <v>2</v>
      </c>
      <c r="B35" s="111" t="s">
        <v>333</v>
      </c>
      <c r="C35" s="215" t="s">
        <v>333</v>
      </c>
      <c r="D35" s="162" t="s">
        <v>383</v>
      </c>
      <c r="E35" s="163" t="s">
        <v>384</v>
      </c>
      <c r="F35" s="213" t="s">
        <v>385</v>
      </c>
      <c r="G35" s="162" t="s">
        <v>335</v>
      </c>
      <c r="H35" s="162">
        <v>60</v>
      </c>
      <c r="I35" s="162"/>
      <c r="J35" s="162">
        <v>42</v>
      </c>
      <c r="K35" s="165">
        <v>42</v>
      </c>
      <c r="L35" s="165"/>
      <c r="M35" s="162" t="s">
        <v>335</v>
      </c>
      <c r="N35" s="166">
        <v>60</v>
      </c>
      <c r="O35" s="166"/>
      <c r="P35" s="166">
        <v>42</v>
      </c>
      <c r="Q35" s="167">
        <v>42</v>
      </c>
      <c r="R35" s="168"/>
      <c r="S35" s="208">
        <f t="shared" si="9"/>
        <v>0</v>
      </c>
      <c r="T35" s="162" t="s">
        <v>330</v>
      </c>
      <c r="U35" s="205">
        <v>57</v>
      </c>
      <c r="V35" s="170" t="s">
        <v>377</v>
      </c>
      <c r="W35" s="205">
        <v>9</v>
      </c>
      <c r="X35" s="206">
        <v>8.6</v>
      </c>
      <c r="Y35" s="172">
        <f t="shared" si="8"/>
        <v>8.6</v>
      </c>
      <c r="Z35" s="210"/>
      <c r="AA35" s="168">
        <f t="shared" si="3"/>
        <v>-33.4</v>
      </c>
      <c r="AB35" s="168"/>
      <c r="AC35" s="168">
        <f t="shared" si="4"/>
        <v>-33.4</v>
      </c>
      <c r="AE35" s="128"/>
      <c r="AI35" s="174"/>
      <c r="AJ35" s="174"/>
      <c r="AM35" s="175">
        <f t="shared" si="5"/>
        <v>0</v>
      </c>
      <c r="AN35" s="176" t="s">
        <v>331</v>
      </c>
      <c r="AO35" s="177">
        <v>57</v>
      </c>
      <c r="AP35" s="178" t="s">
        <v>386</v>
      </c>
      <c r="AQ35" s="179">
        <v>9</v>
      </c>
      <c r="AR35" s="180">
        <v>8.6</v>
      </c>
      <c r="AS35" s="124"/>
      <c r="AT35" s="181">
        <f t="shared" si="0"/>
        <v>0</v>
      </c>
      <c r="AU35" s="182">
        <f t="shared" si="1"/>
        <v>0</v>
      </c>
      <c r="AV35" s="167">
        <f t="shared" si="6"/>
        <v>0</v>
      </c>
      <c r="AX35" s="110"/>
      <c r="BO35" s="159">
        <f t="shared" si="2"/>
        <v>8.6</v>
      </c>
      <c r="BP35" s="160">
        <f t="shared" si="7"/>
        <v>0</v>
      </c>
      <c r="BQ35" s="131"/>
      <c r="BR35" s="132"/>
      <c r="BS35" s="133"/>
      <c r="BT35" s="134"/>
      <c r="BU35" s="135"/>
      <c r="CX35" s="136"/>
      <c r="CY35" s="183"/>
    </row>
    <row r="36" spans="1:103" s="80" customFormat="1" ht="135" customHeight="1">
      <c r="A36" s="110">
        <v>2</v>
      </c>
      <c r="B36" s="111" t="s">
        <v>333</v>
      </c>
      <c r="C36" s="215" t="s">
        <v>333</v>
      </c>
      <c r="D36" s="162" t="s">
        <v>387</v>
      </c>
      <c r="E36" s="163" t="s">
        <v>388</v>
      </c>
      <c r="F36" s="213" t="s">
        <v>389</v>
      </c>
      <c r="G36" s="162" t="s">
        <v>335</v>
      </c>
      <c r="H36" s="162">
        <v>45</v>
      </c>
      <c r="I36" s="162"/>
      <c r="J36" s="162">
        <v>50</v>
      </c>
      <c r="K36" s="165">
        <v>37.5</v>
      </c>
      <c r="L36" s="165"/>
      <c r="M36" s="162" t="s">
        <v>335</v>
      </c>
      <c r="N36" s="166">
        <v>45</v>
      </c>
      <c r="O36" s="166"/>
      <c r="P36" s="216">
        <f>9+39</f>
        <v>48</v>
      </c>
      <c r="Q36" s="206">
        <f>ROUND(N36*P36/60,1)</f>
        <v>36</v>
      </c>
      <c r="R36" s="207"/>
      <c r="S36" s="208">
        <f t="shared" si="9"/>
        <v>-1.5</v>
      </c>
      <c r="T36" s="162" t="s">
        <v>330</v>
      </c>
      <c r="U36" s="205">
        <v>45</v>
      </c>
      <c r="V36" s="170" t="s">
        <v>377</v>
      </c>
      <c r="W36" s="205">
        <v>50</v>
      </c>
      <c r="X36" s="206">
        <v>37.5</v>
      </c>
      <c r="Y36" s="172">
        <f t="shared" si="8"/>
        <v>37.5</v>
      </c>
      <c r="Z36" s="210"/>
      <c r="AA36" s="168">
        <f t="shared" si="3"/>
        <v>1.5</v>
      </c>
      <c r="AB36" s="168"/>
      <c r="AC36" s="168">
        <f t="shared" si="4"/>
        <v>1.5</v>
      </c>
      <c r="AE36" s="128"/>
      <c r="AI36" s="174"/>
      <c r="AJ36" s="174"/>
      <c r="AM36" s="175">
        <f t="shared" si="5"/>
        <v>0</v>
      </c>
      <c r="AN36" s="176" t="s">
        <v>331</v>
      </c>
      <c r="AO36" s="177">
        <v>45</v>
      </c>
      <c r="AP36" s="189" t="s">
        <v>377</v>
      </c>
      <c r="AQ36" s="179">
        <v>50</v>
      </c>
      <c r="AR36" s="180">
        <v>37.5</v>
      </c>
      <c r="AS36" s="124"/>
      <c r="AT36" s="181">
        <f t="shared" si="0"/>
        <v>0</v>
      </c>
      <c r="AU36" s="182">
        <f t="shared" si="1"/>
        <v>0</v>
      </c>
      <c r="AV36" s="167">
        <f t="shared" si="6"/>
        <v>0</v>
      </c>
      <c r="AX36" s="110"/>
      <c r="BO36" s="159">
        <f t="shared" si="2"/>
        <v>37.5</v>
      </c>
      <c r="BP36" s="160">
        <f t="shared" si="7"/>
        <v>0</v>
      </c>
      <c r="BQ36" s="131"/>
      <c r="BR36" s="132"/>
      <c r="BS36" s="133"/>
      <c r="BT36" s="134"/>
      <c r="BU36" s="135"/>
      <c r="CX36" s="183"/>
      <c r="CY36" s="183"/>
    </row>
    <row r="37" spans="1:103" s="80" customFormat="1" ht="133.5" customHeight="1">
      <c r="A37" s="110">
        <v>2</v>
      </c>
      <c r="B37" s="111" t="s">
        <v>333</v>
      </c>
      <c r="C37" s="215" t="s">
        <v>333</v>
      </c>
      <c r="D37" s="162" t="s">
        <v>390</v>
      </c>
      <c r="E37" s="163" t="s">
        <v>391</v>
      </c>
      <c r="F37" s="213" t="s">
        <v>392</v>
      </c>
      <c r="G37" s="162" t="s">
        <v>335</v>
      </c>
      <c r="H37" s="162">
        <v>30</v>
      </c>
      <c r="I37" s="162"/>
      <c r="J37" s="162">
        <v>42</v>
      </c>
      <c r="K37" s="165">
        <v>21</v>
      </c>
      <c r="L37" s="165"/>
      <c r="M37" s="162" t="s">
        <v>335</v>
      </c>
      <c r="N37" s="166">
        <v>30</v>
      </c>
      <c r="O37" s="166"/>
      <c r="P37" s="166">
        <v>42</v>
      </c>
      <c r="Q37" s="167">
        <v>21</v>
      </c>
      <c r="R37" s="168"/>
      <c r="S37" s="208">
        <f t="shared" si="9"/>
        <v>0</v>
      </c>
      <c r="T37" s="162" t="s">
        <v>330</v>
      </c>
      <c r="U37" s="217">
        <v>29</v>
      </c>
      <c r="V37" s="209"/>
      <c r="W37" s="205">
        <v>20</v>
      </c>
      <c r="X37" s="218">
        <v>9.7</v>
      </c>
      <c r="Y37" s="172">
        <f t="shared" si="8"/>
        <v>9.7</v>
      </c>
      <c r="Z37" s="210"/>
      <c r="AA37" s="168">
        <f t="shared" si="3"/>
        <v>-11.3</v>
      </c>
      <c r="AB37" s="168"/>
      <c r="AC37" s="168">
        <f t="shared" si="4"/>
        <v>-11.3</v>
      </c>
      <c r="AE37" s="128"/>
      <c r="AI37" s="174"/>
      <c r="AJ37" s="174"/>
      <c r="AM37" s="175">
        <f t="shared" si="5"/>
        <v>0</v>
      </c>
      <c r="AN37" s="176" t="s">
        <v>331</v>
      </c>
      <c r="AO37" s="177">
        <v>29</v>
      </c>
      <c r="AP37" s="189" t="s">
        <v>393</v>
      </c>
      <c r="AQ37" s="179">
        <v>20</v>
      </c>
      <c r="AR37" s="180">
        <v>9.7</v>
      </c>
      <c r="AS37" s="124"/>
      <c r="AT37" s="181">
        <f t="shared" si="0"/>
        <v>0</v>
      </c>
      <c r="AU37" s="182">
        <f t="shared" si="1"/>
        <v>0</v>
      </c>
      <c r="AV37" s="167">
        <f t="shared" si="6"/>
        <v>0</v>
      </c>
      <c r="AX37" s="110"/>
      <c r="BO37" s="159">
        <f t="shared" si="2"/>
        <v>9.7</v>
      </c>
      <c r="BP37" s="160">
        <f t="shared" si="7"/>
        <v>0</v>
      </c>
      <c r="BQ37" s="131"/>
      <c r="BR37" s="132"/>
      <c r="BS37" s="133"/>
      <c r="BT37" s="134"/>
      <c r="BU37" s="135"/>
      <c r="CY37" s="136"/>
    </row>
    <row r="38" spans="1:103" s="80" customFormat="1" ht="207" customHeight="1">
      <c r="A38" s="110">
        <v>2</v>
      </c>
      <c r="B38" s="111" t="s">
        <v>333</v>
      </c>
      <c r="C38" s="215" t="s">
        <v>333</v>
      </c>
      <c r="D38" s="162" t="s">
        <v>394</v>
      </c>
      <c r="E38" s="163" t="s">
        <v>395</v>
      </c>
      <c r="F38" s="213" t="s">
        <v>396</v>
      </c>
      <c r="G38" s="162" t="s">
        <v>335</v>
      </c>
      <c r="H38" s="162">
        <v>30</v>
      </c>
      <c r="I38" s="162" t="s">
        <v>397</v>
      </c>
      <c r="J38" s="162">
        <v>52</v>
      </c>
      <c r="K38" s="165">
        <v>26</v>
      </c>
      <c r="L38" s="165"/>
      <c r="M38" s="162" t="s">
        <v>335</v>
      </c>
      <c r="N38" s="166">
        <v>30</v>
      </c>
      <c r="O38" s="166" t="s">
        <v>397</v>
      </c>
      <c r="P38" s="205">
        <f>10+4*9</f>
        <v>46</v>
      </c>
      <c r="Q38" s="206">
        <f>ROUND(N38*P38/60,1)</f>
        <v>23</v>
      </c>
      <c r="R38" s="207"/>
      <c r="S38" s="208">
        <f t="shared" si="9"/>
        <v>-3</v>
      </c>
      <c r="T38" s="162" t="s">
        <v>330</v>
      </c>
      <c r="U38" s="217">
        <v>29</v>
      </c>
      <c r="V38" s="170" t="s">
        <v>377</v>
      </c>
      <c r="W38" s="205">
        <v>16</v>
      </c>
      <c r="X38" s="218">
        <v>7.7</v>
      </c>
      <c r="Y38" s="172">
        <f t="shared" si="8"/>
        <v>7.7</v>
      </c>
      <c r="Z38" s="210"/>
      <c r="AA38" s="168">
        <f t="shared" si="3"/>
        <v>-15.3</v>
      </c>
      <c r="AB38" s="168"/>
      <c r="AC38" s="168">
        <f t="shared" si="4"/>
        <v>-15.3</v>
      </c>
      <c r="AE38" s="128"/>
      <c r="AI38" s="174"/>
      <c r="AJ38" s="174"/>
      <c r="AM38" s="175">
        <f t="shared" si="5"/>
        <v>0</v>
      </c>
      <c r="AN38" s="176" t="s">
        <v>331</v>
      </c>
      <c r="AO38" s="177">
        <v>29</v>
      </c>
      <c r="AP38" s="189" t="s">
        <v>398</v>
      </c>
      <c r="AQ38" s="179">
        <v>13</v>
      </c>
      <c r="AR38" s="180">
        <v>6.3</v>
      </c>
      <c r="AS38" s="124"/>
      <c r="AT38" s="181">
        <f t="shared" si="0"/>
        <v>-1.4000000000000004</v>
      </c>
      <c r="AU38" s="182">
        <f t="shared" si="1"/>
        <v>0</v>
      </c>
      <c r="AV38" s="167">
        <f t="shared" si="6"/>
        <v>-1.4000000000000004</v>
      </c>
      <c r="AX38" s="110"/>
      <c r="BO38" s="159">
        <f t="shared" si="2"/>
        <v>6.3</v>
      </c>
      <c r="BP38" s="160">
        <f t="shared" si="7"/>
        <v>0</v>
      </c>
      <c r="BQ38" s="131"/>
      <c r="BR38" s="132"/>
      <c r="BS38" s="133"/>
      <c r="BT38" s="134"/>
      <c r="BU38" s="135"/>
      <c r="CY38" s="136"/>
    </row>
    <row r="39" spans="1:103" s="80" customFormat="1" ht="129" customHeight="1">
      <c r="A39" s="110">
        <v>2</v>
      </c>
      <c r="B39" s="111" t="s">
        <v>333</v>
      </c>
      <c r="C39" s="215" t="s">
        <v>333</v>
      </c>
      <c r="D39" s="162" t="s">
        <v>399</v>
      </c>
      <c r="E39" s="163" t="s">
        <v>400</v>
      </c>
      <c r="F39" s="213" t="s">
        <v>401</v>
      </c>
      <c r="G39" s="162" t="s">
        <v>335</v>
      </c>
      <c r="H39" s="162">
        <v>30</v>
      </c>
      <c r="I39" s="162" t="s">
        <v>397</v>
      </c>
      <c r="J39" s="162">
        <v>52</v>
      </c>
      <c r="K39" s="165">
        <v>26</v>
      </c>
      <c r="L39" s="165"/>
      <c r="M39" s="162" t="s">
        <v>335</v>
      </c>
      <c r="N39" s="166">
        <v>30</v>
      </c>
      <c r="O39" s="166" t="s">
        <v>397</v>
      </c>
      <c r="P39" s="205">
        <v>50</v>
      </c>
      <c r="Q39" s="206">
        <f>ROUND(N39*P39/60,1)</f>
        <v>25</v>
      </c>
      <c r="R39" s="207"/>
      <c r="S39" s="208">
        <f t="shared" si="9"/>
        <v>-1</v>
      </c>
      <c r="T39" s="162" t="s">
        <v>330</v>
      </c>
      <c r="U39" s="205">
        <v>26</v>
      </c>
      <c r="V39" s="170" t="s">
        <v>377</v>
      </c>
      <c r="W39" s="205">
        <v>52</v>
      </c>
      <c r="X39" s="206">
        <v>22.5</v>
      </c>
      <c r="Y39" s="172">
        <f t="shared" si="8"/>
        <v>22.5</v>
      </c>
      <c r="Z39" s="210"/>
      <c r="AA39" s="168">
        <f t="shared" si="3"/>
        <v>-2.5</v>
      </c>
      <c r="AB39" s="168"/>
      <c r="AC39" s="168">
        <f t="shared" si="4"/>
        <v>-2.5</v>
      </c>
      <c r="AE39" s="128"/>
      <c r="AI39" s="174"/>
      <c r="AJ39" s="174"/>
      <c r="AM39" s="175">
        <f t="shared" si="5"/>
        <v>0</v>
      </c>
      <c r="AN39" s="176" t="s">
        <v>331</v>
      </c>
      <c r="AO39" s="177">
        <v>25.5</v>
      </c>
      <c r="AP39" s="189" t="s">
        <v>377</v>
      </c>
      <c r="AQ39" s="179">
        <v>46</v>
      </c>
      <c r="AR39" s="180">
        <v>19.6</v>
      </c>
      <c r="AS39" s="124"/>
      <c r="AT39" s="181">
        <f t="shared" si="0"/>
        <v>-2.8999999999999986</v>
      </c>
      <c r="AU39" s="182">
        <f t="shared" si="1"/>
        <v>0</v>
      </c>
      <c r="AV39" s="167">
        <f t="shared" si="6"/>
        <v>-2.8999999999999986</v>
      </c>
      <c r="AX39" s="110"/>
      <c r="BO39" s="159">
        <f t="shared" si="2"/>
        <v>19.6</v>
      </c>
      <c r="BP39" s="160">
        <f t="shared" si="7"/>
        <v>0</v>
      </c>
      <c r="BQ39" s="131"/>
      <c r="BR39" s="132"/>
      <c r="BS39" s="133"/>
      <c r="BT39" s="134"/>
      <c r="BU39" s="135"/>
      <c r="CY39" s="136"/>
    </row>
    <row r="40" spans="1:103" s="80" customFormat="1" ht="124.5" customHeight="1">
      <c r="A40" s="110">
        <v>2</v>
      </c>
      <c r="B40" s="111" t="s">
        <v>333</v>
      </c>
      <c r="C40" s="215" t="s">
        <v>333</v>
      </c>
      <c r="D40" s="162" t="s">
        <v>402</v>
      </c>
      <c r="E40" s="163" t="s">
        <v>403</v>
      </c>
      <c r="F40" s="213" t="s">
        <v>404</v>
      </c>
      <c r="G40" s="162" t="s">
        <v>335</v>
      </c>
      <c r="H40" s="162">
        <v>40</v>
      </c>
      <c r="I40" s="162" t="s">
        <v>339</v>
      </c>
      <c r="J40" s="162">
        <v>260</v>
      </c>
      <c r="K40" s="165">
        <v>173.3</v>
      </c>
      <c r="L40" s="165"/>
      <c r="M40" s="162" t="s">
        <v>335</v>
      </c>
      <c r="N40" s="166">
        <v>40</v>
      </c>
      <c r="O40" s="166" t="s">
        <v>339</v>
      </c>
      <c r="P40" s="205">
        <f>40+10+5*39</f>
        <v>245</v>
      </c>
      <c r="Q40" s="206">
        <f>ROUND(N40*P40/60,1)</f>
        <v>163.3</v>
      </c>
      <c r="R40" s="207"/>
      <c r="S40" s="208">
        <f t="shared" si="9"/>
        <v>-10</v>
      </c>
      <c r="T40" s="162" t="s">
        <v>330</v>
      </c>
      <c r="U40" s="205">
        <v>35</v>
      </c>
      <c r="V40" s="209" t="s">
        <v>405</v>
      </c>
      <c r="W40" s="205">
        <v>170</v>
      </c>
      <c r="X40" s="207">
        <v>99.2</v>
      </c>
      <c r="Y40" s="219">
        <f t="shared" si="8"/>
        <v>99.2</v>
      </c>
      <c r="Z40" s="210"/>
      <c r="AA40" s="168">
        <f t="shared" si="3"/>
        <v>-64.10000000000001</v>
      </c>
      <c r="AB40" s="168"/>
      <c r="AC40" s="168">
        <f t="shared" si="4"/>
        <v>-64.10000000000001</v>
      </c>
      <c r="AE40" s="128"/>
      <c r="AI40" s="174"/>
      <c r="AJ40" s="174"/>
      <c r="AM40" s="175">
        <f t="shared" si="5"/>
        <v>0</v>
      </c>
      <c r="AN40" s="176" t="s">
        <v>331</v>
      </c>
      <c r="AO40" s="177">
        <v>35.5</v>
      </c>
      <c r="AP40" s="189" t="s">
        <v>406</v>
      </c>
      <c r="AQ40" s="179">
        <v>183</v>
      </c>
      <c r="AR40" s="180">
        <v>108.3</v>
      </c>
      <c r="AS40" s="124"/>
      <c r="AT40" s="181">
        <f t="shared" si="0"/>
        <v>9.099999999999994</v>
      </c>
      <c r="AU40" s="182">
        <f t="shared" si="1"/>
        <v>0</v>
      </c>
      <c r="AV40" s="167">
        <f t="shared" si="6"/>
        <v>9.099999999999994</v>
      </c>
      <c r="AX40" s="110"/>
      <c r="BO40" s="159">
        <f t="shared" si="2"/>
        <v>108.3</v>
      </c>
      <c r="BP40" s="160">
        <f t="shared" si="7"/>
        <v>0</v>
      </c>
      <c r="BQ40" s="131"/>
      <c r="BR40" s="132"/>
      <c r="BS40" s="133"/>
      <c r="BT40" s="134"/>
      <c r="BU40" s="135"/>
      <c r="CY40" s="136"/>
    </row>
    <row r="41" spans="1:103" s="80" customFormat="1" ht="132.75" customHeight="1">
      <c r="A41" s="110">
        <v>3</v>
      </c>
      <c r="B41" s="111" t="s">
        <v>333</v>
      </c>
      <c r="C41" s="215" t="s">
        <v>333</v>
      </c>
      <c r="D41" s="162" t="s">
        <v>407</v>
      </c>
      <c r="E41" s="163" t="s">
        <v>408</v>
      </c>
      <c r="F41" s="213" t="s">
        <v>409</v>
      </c>
      <c r="G41" s="162" t="s">
        <v>335</v>
      </c>
      <c r="H41" s="162">
        <v>31</v>
      </c>
      <c r="I41" s="162"/>
      <c r="J41" s="162">
        <v>52</v>
      </c>
      <c r="K41" s="165">
        <v>26.9</v>
      </c>
      <c r="L41" s="165"/>
      <c r="M41" s="162" t="s">
        <v>335</v>
      </c>
      <c r="N41" s="166"/>
      <c r="O41" s="166"/>
      <c r="P41" s="166"/>
      <c r="Q41" s="167">
        <f>26.9+26.6</f>
        <v>53.5</v>
      </c>
      <c r="R41" s="168"/>
      <c r="S41" s="208">
        <f t="shared" si="9"/>
        <v>26.6</v>
      </c>
      <c r="T41" s="162" t="s">
        <v>330</v>
      </c>
      <c r="U41" s="205"/>
      <c r="V41" s="209"/>
      <c r="W41" s="205"/>
      <c r="X41" s="207">
        <v>7.5</v>
      </c>
      <c r="Y41" s="220">
        <v>7.5</v>
      </c>
      <c r="Z41" s="207">
        <v>3</v>
      </c>
      <c r="AA41" s="168">
        <f>X41-Q41</f>
        <v>-46</v>
      </c>
      <c r="AB41" s="168">
        <v>3</v>
      </c>
      <c r="AC41" s="168">
        <f t="shared" si="4"/>
        <v>-43</v>
      </c>
      <c r="AE41" s="128"/>
      <c r="AI41" s="174"/>
      <c r="AJ41" s="174"/>
      <c r="AM41" s="175">
        <f t="shared" si="5"/>
        <v>0</v>
      </c>
      <c r="AN41" s="176" t="s">
        <v>331</v>
      </c>
      <c r="AO41" s="177"/>
      <c r="AP41" s="189"/>
      <c r="AQ41" s="179"/>
      <c r="AR41" s="180">
        <f>4.2+0.4</f>
        <v>4.6000000000000005</v>
      </c>
      <c r="AS41" s="124">
        <v>4.7</v>
      </c>
      <c r="AT41" s="181">
        <f t="shared" si="0"/>
        <v>-2.8999999999999995</v>
      </c>
      <c r="AU41" s="182">
        <f t="shared" si="1"/>
        <v>1.7000000000000002</v>
      </c>
      <c r="AV41" s="167">
        <f t="shared" si="6"/>
        <v>-1.1999999999999993</v>
      </c>
      <c r="AX41" s="110"/>
      <c r="BO41" s="159">
        <v>4.6</v>
      </c>
      <c r="BP41" s="160">
        <f t="shared" si="7"/>
        <v>0</v>
      </c>
      <c r="BQ41" s="131"/>
      <c r="BR41" s="132"/>
      <c r="BS41" s="221">
        <f>AS41</f>
        <v>4.7</v>
      </c>
      <c r="BT41" s="134"/>
      <c r="BU41" s="135"/>
      <c r="CY41" s="136"/>
    </row>
    <row r="42" spans="1:103" s="80" customFormat="1" ht="156.75" customHeight="1">
      <c r="A42" s="110">
        <v>1</v>
      </c>
      <c r="B42" s="111" t="s">
        <v>333</v>
      </c>
      <c r="C42" s="112" t="s">
        <v>333</v>
      </c>
      <c r="D42" s="162" t="s">
        <v>410</v>
      </c>
      <c r="E42" s="163" t="s">
        <v>411</v>
      </c>
      <c r="F42" s="213" t="s">
        <v>412</v>
      </c>
      <c r="G42" s="162" t="s">
        <v>335</v>
      </c>
      <c r="H42" s="162"/>
      <c r="I42" s="162"/>
      <c r="J42" s="162"/>
      <c r="K42" s="165">
        <v>10.3</v>
      </c>
      <c r="L42" s="165"/>
      <c r="M42" s="162" t="s">
        <v>335</v>
      </c>
      <c r="N42" s="166"/>
      <c r="O42" s="166"/>
      <c r="P42" s="166"/>
      <c r="Q42" s="168">
        <v>10.3</v>
      </c>
      <c r="R42" s="168"/>
      <c r="S42" s="222">
        <f t="shared" si="9"/>
        <v>0</v>
      </c>
      <c r="T42" s="162" t="s">
        <v>330</v>
      </c>
      <c r="U42" s="205"/>
      <c r="V42" s="209"/>
      <c r="W42" s="205"/>
      <c r="X42" s="210">
        <f>88+0.6+0.1</f>
        <v>88.69999999999999</v>
      </c>
      <c r="Y42" s="220">
        <f>97-9</f>
        <v>88</v>
      </c>
      <c r="Z42" s="210"/>
      <c r="AA42" s="168">
        <f>X42-Q42</f>
        <v>78.39999999999999</v>
      </c>
      <c r="AB42" s="168"/>
      <c r="AC42" s="168">
        <f t="shared" si="4"/>
        <v>78.39999999999999</v>
      </c>
      <c r="AE42" s="128"/>
      <c r="AI42" s="174"/>
      <c r="AJ42" s="174"/>
      <c r="AM42" s="175">
        <f t="shared" si="5"/>
        <v>0.6999999999999886</v>
      </c>
      <c r="AN42" s="176" t="s">
        <v>331</v>
      </c>
      <c r="AO42" s="177"/>
      <c r="AP42" s="189"/>
      <c r="AQ42" s="179"/>
      <c r="AR42" s="180">
        <v>85.4</v>
      </c>
      <c r="AS42" s="124"/>
      <c r="AT42" s="181">
        <f t="shared" si="0"/>
        <v>-3.299999999999983</v>
      </c>
      <c r="AU42" s="182">
        <f t="shared" si="1"/>
        <v>0</v>
      </c>
      <c r="AV42" s="167">
        <f t="shared" si="6"/>
        <v>-3.299999999999983</v>
      </c>
      <c r="AX42" s="110"/>
      <c r="BO42" s="159">
        <v>85.4</v>
      </c>
      <c r="BP42" s="160">
        <f t="shared" si="7"/>
        <v>0</v>
      </c>
      <c r="BQ42" s="131"/>
      <c r="BR42" s="132"/>
      <c r="BS42" s="133"/>
      <c r="BT42" s="134"/>
      <c r="BU42" s="135"/>
      <c r="CY42" s="136"/>
    </row>
    <row r="43" spans="1:103" s="80" customFormat="1" ht="102.75" customHeight="1">
      <c r="A43" s="110">
        <v>3</v>
      </c>
      <c r="B43" s="111" t="s">
        <v>333</v>
      </c>
      <c r="C43" s="215" t="s">
        <v>333</v>
      </c>
      <c r="D43" s="162" t="s">
        <v>413</v>
      </c>
      <c r="E43" s="163" t="s">
        <v>414</v>
      </c>
      <c r="F43" s="213" t="s">
        <v>415</v>
      </c>
      <c r="G43" s="162" t="s">
        <v>335</v>
      </c>
      <c r="H43" s="162">
        <v>20</v>
      </c>
      <c r="I43" s="162" t="s">
        <v>416</v>
      </c>
      <c r="J43" s="162">
        <v>4</v>
      </c>
      <c r="K43" s="165">
        <v>1.3</v>
      </c>
      <c r="L43" s="165"/>
      <c r="M43" s="162" t="s">
        <v>335</v>
      </c>
      <c r="N43" s="166">
        <v>20</v>
      </c>
      <c r="O43" s="166" t="s">
        <v>416</v>
      </c>
      <c r="P43" s="166">
        <v>4</v>
      </c>
      <c r="Q43" s="167">
        <v>1.3</v>
      </c>
      <c r="R43" s="168"/>
      <c r="S43" s="208">
        <f>Q43-K43</f>
        <v>0</v>
      </c>
      <c r="T43" s="162" t="s">
        <v>330</v>
      </c>
      <c r="U43" s="205">
        <v>28</v>
      </c>
      <c r="V43" s="209"/>
      <c r="W43" s="205">
        <v>3</v>
      </c>
      <c r="X43" s="206">
        <v>1.4</v>
      </c>
      <c r="Y43" s="172">
        <f>ROUND(U43*W43/60,1)</f>
        <v>1.4</v>
      </c>
      <c r="Z43" s="210"/>
      <c r="AA43" s="168">
        <f t="shared" si="3"/>
        <v>0.09999999999999987</v>
      </c>
      <c r="AB43" s="168"/>
      <c r="AC43" s="168">
        <f t="shared" si="4"/>
        <v>0.09999999999999987</v>
      </c>
      <c r="AE43" s="128"/>
      <c r="AI43" s="174" t="s">
        <v>417</v>
      </c>
      <c r="AJ43" s="223">
        <v>39279</v>
      </c>
      <c r="AM43" s="175">
        <f t="shared" si="5"/>
        <v>0</v>
      </c>
      <c r="AN43" s="176" t="s">
        <v>331</v>
      </c>
      <c r="AO43" s="177">
        <v>24</v>
      </c>
      <c r="AP43" s="189"/>
      <c r="AQ43" s="179">
        <v>2</v>
      </c>
      <c r="AR43" s="180">
        <v>0.8</v>
      </c>
      <c r="AS43" s="124"/>
      <c r="AT43" s="181">
        <f t="shared" si="0"/>
        <v>-0.5999999999999999</v>
      </c>
      <c r="AU43" s="182">
        <f t="shared" si="1"/>
        <v>0</v>
      </c>
      <c r="AV43" s="167">
        <f t="shared" si="6"/>
        <v>-0.5999999999999999</v>
      </c>
      <c r="AX43" s="110"/>
      <c r="BO43" s="159">
        <f>ROUND(AO43*AQ43/60,1)</f>
        <v>0.8</v>
      </c>
      <c r="BP43" s="160">
        <f t="shared" si="7"/>
        <v>0</v>
      </c>
      <c r="BQ43" s="131"/>
      <c r="BR43" s="132"/>
      <c r="BS43" s="133"/>
      <c r="BT43" s="134"/>
      <c r="BU43" s="135"/>
      <c r="CY43" s="136"/>
    </row>
    <row r="44" spans="1:103" s="80" customFormat="1" ht="114.75" customHeight="1">
      <c r="A44" s="110">
        <v>3</v>
      </c>
      <c r="B44" s="111" t="s">
        <v>333</v>
      </c>
      <c r="C44" s="215" t="s">
        <v>333</v>
      </c>
      <c r="D44" s="162" t="s">
        <v>407</v>
      </c>
      <c r="E44" s="163" t="s">
        <v>418</v>
      </c>
      <c r="F44" s="224" t="s">
        <v>419</v>
      </c>
      <c r="G44" s="162" t="s">
        <v>335</v>
      </c>
      <c r="H44" s="162">
        <v>20</v>
      </c>
      <c r="I44" s="162" t="s">
        <v>420</v>
      </c>
      <c r="J44" s="162">
        <v>12</v>
      </c>
      <c r="K44" s="165">
        <v>4</v>
      </c>
      <c r="L44" s="165"/>
      <c r="M44" s="162" t="s">
        <v>335</v>
      </c>
      <c r="N44" s="166">
        <v>20</v>
      </c>
      <c r="O44" s="166" t="s">
        <v>420</v>
      </c>
      <c r="P44" s="166">
        <v>12</v>
      </c>
      <c r="Q44" s="167">
        <v>4</v>
      </c>
      <c r="R44" s="168"/>
      <c r="S44" s="208">
        <f>Q44-K44</f>
        <v>0</v>
      </c>
      <c r="T44" s="162" t="s">
        <v>330</v>
      </c>
      <c r="U44" s="217"/>
      <c r="V44" s="225"/>
      <c r="W44" s="217"/>
      <c r="X44" s="206">
        <f>2.4+6.3</f>
        <v>8.7</v>
      </c>
      <c r="Y44" s="226">
        <v>8.7</v>
      </c>
      <c r="Z44" s="210"/>
      <c r="AA44" s="168">
        <f t="shared" si="3"/>
        <v>4.699999999999999</v>
      </c>
      <c r="AB44" s="168"/>
      <c r="AC44" s="168">
        <f t="shared" si="4"/>
        <v>4.699999999999999</v>
      </c>
      <c r="AE44" s="128"/>
      <c r="AI44" s="174"/>
      <c r="AJ44" s="174"/>
      <c r="AM44" s="175">
        <f t="shared" si="5"/>
        <v>0</v>
      </c>
      <c r="AN44" s="176" t="s">
        <v>331</v>
      </c>
      <c r="AO44" s="177"/>
      <c r="AP44" s="189"/>
      <c r="AQ44" s="179"/>
      <c r="AR44" s="180">
        <f>1.6+7.3+1.3</f>
        <v>10.200000000000001</v>
      </c>
      <c r="AS44" s="124"/>
      <c r="AT44" s="181">
        <f t="shared" si="0"/>
        <v>1.5000000000000018</v>
      </c>
      <c r="AU44" s="182">
        <f t="shared" si="1"/>
        <v>0</v>
      </c>
      <c r="AV44" s="167">
        <f t="shared" si="6"/>
        <v>1.5000000000000018</v>
      </c>
      <c r="AX44" s="110"/>
      <c r="BO44" s="159">
        <v>10.2</v>
      </c>
      <c r="BP44" s="160">
        <f t="shared" si="7"/>
        <v>0</v>
      </c>
      <c r="BQ44" s="131"/>
      <c r="BR44" s="132"/>
      <c r="BS44" s="133"/>
      <c r="BT44" s="134"/>
      <c r="BU44" s="135"/>
      <c r="CY44" s="136"/>
    </row>
    <row r="45" spans="1:103" s="80" customFormat="1" ht="49.5" customHeight="1">
      <c r="A45" s="110">
        <v>9</v>
      </c>
      <c r="B45" s="111" t="s">
        <v>333</v>
      </c>
      <c r="C45" s="215" t="s">
        <v>333</v>
      </c>
      <c r="D45" s="162" t="s">
        <v>421</v>
      </c>
      <c r="E45" s="163" t="s">
        <v>422</v>
      </c>
      <c r="F45" s="224" t="s">
        <v>423</v>
      </c>
      <c r="G45" s="162" t="s">
        <v>335</v>
      </c>
      <c r="H45" s="162">
        <v>30</v>
      </c>
      <c r="I45" s="162" t="s">
        <v>424</v>
      </c>
      <c r="J45" s="162">
        <v>52</v>
      </c>
      <c r="K45" s="165">
        <v>26</v>
      </c>
      <c r="L45" s="165"/>
      <c r="M45" s="162" t="s">
        <v>335</v>
      </c>
      <c r="N45" s="166">
        <v>30</v>
      </c>
      <c r="O45" s="166" t="s">
        <v>424</v>
      </c>
      <c r="P45" s="205">
        <v>20</v>
      </c>
      <c r="Q45" s="206">
        <f>ROUND(N45*P45/60,1)</f>
        <v>10</v>
      </c>
      <c r="R45" s="207"/>
      <c r="S45" s="208">
        <f>Q45-K45</f>
        <v>-16</v>
      </c>
      <c r="T45" s="162" t="s">
        <v>330</v>
      </c>
      <c r="U45" s="205">
        <v>30</v>
      </c>
      <c r="V45" s="209"/>
      <c r="W45" s="205">
        <v>1</v>
      </c>
      <c r="X45" s="206">
        <v>0.5</v>
      </c>
      <c r="Y45" s="172">
        <f>ROUND(U45*W45/60,1)</f>
        <v>0.5</v>
      </c>
      <c r="Z45" s="210"/>
      <c r="AA45" s="168">
        <f aca="true" t="shared" si="10" ref="AA45:AA59">X45-Q45</f>
        <v>-9.5</v>
      </c>
      <c r="AB45" s="168"/>
      <c r="AC45" s="168">
        <f aca="true" t="shared" si="11" ref="AC45:AC59">AB45+AA45</f>
        <v>-9.5</v>
      </c>
      <c r="AE45" s="128"/>
      <c r="AI45" s="174"/>
      <c r="AJ45" s="174"/>
      <c r="AM45" s="175">
        <f aca="true" t="shared" si="12" ref="AM45:AM59">X45-Y45</f>
        <v>0</v>
      </c>
      <c r="AN45" s="176" t="s">
        <v>331</v>
      </c>
      <c r="AO45" s="177"/>
      <c r="AP45" s="189"/>
      <c r="AQ45" s="179"/>
      <c r="AR45" s="180"/>
      <c r="AS45" s="124"/>
      <c r="AT45" s="181">
        <f t="shared" si="0"/>
        <v>-0.5</v>
      </c>
      <c r="AU45" s="182">
        <f t="shared" si="1"/>
        <v>0</v>
      </c>
      <c r="AV45" s="167">
        <f t="shared" si="6"/>
        <v>-0.5</v>
      </c>
      <c r="AX45" s="110"/>
      <c r="BO45" s="159">
        <f>ROUND(AO45*AQ45/60,1)</f>
        <v>0</v>
      </c>
      <c r="BP45" s="160">
        <f t="shared" si="7"/>
        <v>0</v>
      </c>
      <c r="BQ45" s="131"/>
      <c r="BR45" s="132"/>
      <c r="BS45" s="133"/>
      <c r="BT45" s="134"/>
      <c r="BU45" s="135"/>
      <c r="CY45" s="136"/>
    </row>
    <row r="46" spans="1:103" s="80" customFormat="1" ht="37.5" customHeight="1">
      <c r="A46" s="110">
        <v>9</v>
      </c>
      <c r="B46" s="111" t="s">
        <v>333</v>
      </c>
      <c r="C46" s="215" t="s">
        <v>333</v>
      </c>
      <c r="D46" s="162" t="s">
        <v>425</v>
      </c>
      <c r="E46" s="227" t="s">
        <v>426</v>
      </c>
      <c r="F46" s="224" t="s">
        <v>427</v>
      </c>
      <c r="G46" s="162" t="s">
        <v>335</v>
      </c>
      <c r="H46" s="162">
        <v>45</v>
      </c>
      <c r="I46" s="162" t="s">
        <v>424</v>
      </c>
      <c r="J46" s="162">
        <v>52</v>
      </c>
      <c r="K46" s="165">
        <v>39</v>
      </c>
      <c r="L46" s="165"/>
      <c r="M46" s="162" t="s">
        <v>335</v>
      </c>
      <c r="N46" s="166">
        <v>45</v>
      </c>
      <c r="O46" s="166" t="s">
        <v>424</v>
      </c>
      <c r="P46" s="205">
        <v>40</v>
      </c>
      <c r="Q46" s="206">
        <f>ROUND(N46*P46/60,1)</f>
        <v>30</v>
      </c>
      <c r="R46" s="207"/>
      <c r="S46" s="208">
        <f>Q46-K46</f>
        <v>-9</v>
      </c>
      <c r="T46" s="162" t="s">
        <v>330</v>
      </c>
      <c r="U46" s="205">
        <v>40</v>
      </c>
      <c r="V46" s="209"/>
      <c r="W46" s="205">
        <v>37</v>
      </c>
      <c r="X46" s="206">
        <v>24.7</v>
      </c>
      <c r="Y46" s="172">
        <f>ROUND(U46*W46/60,1)</f>
        <v>24.7</v>
      </c>
      <c r="Z46" s="210"/>
      <c r="AA46" s="168">
        <f t="shared" si="10"/>
        <v>-5.300000000000001</v>
      </c>
      <c r="AB46" s="168"/>
      <c r="AC46" s="168">
        <f t="shared" si="11"/>
        <v>-5.300000000000001</v>
      </c>
      <c r="AE46" s="128"/>
      <c r="AI46" s="174"/>
      <c r="AJ46" s="174"/>
      <c r="AM46" s="175">
        <f t="shared" si="12"/>
        <v>0</v>
      </c>
      <c r="AN46" s="176" t="s">
        <v>331</v>
      </c>
      <c r="AO46" s="177">
        <v>39</v>
      </c>
      <c r="AP46" s="189" t="s">
        <v>377</v>
      </c>
      <c r="AQ46" s="179">
        <v>40</v>
      </c>
      <c r="AR46" s="180">
        <v>26</v>
      </c>
      <c r="AS46" s="124"/>
      <c r="AT46" s="181">
        <f t="shared" si="0"/>
        <v>1.3000000000000007</v>
      </c>
      <c r="AU46" s="182">
        <f t="shared" si="1"/>
        <v>0</v>
      </c>
      <c r="AV46" s="167">
        <f t="shared" si="6"/>
        <v>1.3000000000000007</v>
      </c>
      <c r="AX46" s="110"/>
      <c r="BO46" s="159">
        <f>ROUND(AO46*AQ46/60,1)</f>
        <v>26</v>
      </c>
      <c r="BP46" s="160">
        <f t="shared" si="7"/>
        <v>0</v>
      </c>
      <c r="BQ46" s="131"/>
      <c r="BR46" s="132"/>
      <c r="BS46" s="133"/>
      <c r="BT46" s="134"/>
      <c r="BU46" s="135"/>
      <c r="CY46" s="136"/>
    </row>
    <row r="47" spans="1:103" s="80" customFormat="1" ht="66.75" customHeight="1">
      <c r="A47" s="110">
        <v>1</v>
      </c>
      <c r="B47" s="111" t="s">
        <v>333</v>
      </c>
      <c r="C47" s="112"/>
      <c r="D47" s="162" t="s">
        <v>428</v>
      </c>
      <c r="E47" s="163" t="s">
        <v>429</v>
      </c>
      <c r="F47" s="228" t="s">
        <v>430</v>
      </c>
      <c r="G47" s="162"/>
      <c r="H47" s="162"/>
      <c r="I47" s="162"/>
      <c r="J47" s="162"/>
      <c r="K47" s="165"/>
      <c r="L47" s="165"/>
      <c r="M47" s="162"/>
      <c r="N47" s="166"/>
      <c r="O47" s="166"/>
      <c r="P47" s="205"/>
      <c r="Q47" s="206"/>
      <c r="R47" s="207"/>
      <c r="S47" s="222"/>
      <c r="T47" s="162" t="s">
        <v>330</v>
      </c>
      <c r="U47" s="169">
        <v>7</v>
      </c>
      <c r="V47" s="170" t="s">
        <v>377</v>
      </c>
      <c r="W47" s="205">
        <v>20</v>
      </c>
      <c r="X47" s="206">
        <v>2.5</v>
      </c>
      <c r="Y47" s="172">
        <f>ROUND(U47*W47/60,1)</f>
        <v>2.3</v>
      </c>
      <c r="Z47" s="207"/>
      <c r="AA47" s="168">
        <f t="shared" si="10"/>
        <v>2.5</v>
      </c>
      <c r="AB47" s="168"/>
      <c r="AC47" s="168">
        <f t="shared" si="11"/>
        <v>2.5</v>
      </c>
      <c r="AE47" s="128"/>
      <c r="AI47" s="174"/>
      <c r="AJ47" s="174"/>
      <c r="AM47" s="175">
        <f t="shared" si="12"/>
        <v>0.20000000000000018</v>
      </c>
      <c r="AN47" s="176" t="s">
        <v>331</v>
      </c>
      <c r="AO47" s="177">
        <v>7.5</v>
      </c>
      <c r="AP47" s="178" t="s">
        <v>431</v>
      </c>
      <c r="AQ47" s="179">
        <v>20</v>
      </c>
      <c r="AR47" s="180">
        <v>2.5</v>
      </c>
      <c r="AS47" s="124"/>
      <c r="AT47" s="181">
        <f t="shared" si="0"/>
        <v>0</v>
      </c>
      <c r="AU47" s="182">
        <f t="shared" si="1"/>
        <v>0</v>
      </c>
      <c r="AV47" s="167">
        <f t="shared" si="6"/>
        <v>0</v>
      </c>
      <c r="AX47" s="110"/>
      <c r="BO47" s="159">
        <f>ROUND(AO47*AQ47/60,1)</f>
        <v>2.5</v>
      </c>
      <c r="BP47" s="160">
        <f t="shared" si="7"/>
        <v>0</v>
      </c>
      <c r="BQ47" s="131"/>
      <c r="BR47" s="132"/>
      <c r="BS47" s="133"/>
      <c r="BT47" s="134"/>
      <c r="BU47" s="135"/>
      <c r="CY47" s="136"/>
    </row>
    <row r="48" spans="1:103" s="80" customFormat="1" ht="44.25" customHeight="1">
      <c r="A48" s="110">
        <v>9</v>
      </c>
      <c r="B48" s="111" t="s">
        <v>333</v>
      </c>
      <c r="C48" s="215" t="s">
        <v>333</v>
      </c>
      <c r="D48" s="162" t="s">
        <v>432</v>
      </c>
      <c r="E48" s="163" t="s">
        <v>433</v>
      </c>
      <c r="F48" s="224" t="s">
        <v>434</v>
      </c>
      <c r="G48" s="162" t="s">
        <v>335</v>
      </c>
      <c r="H48" s="162">
        <v>25</v>
      </c>
      <c r="I48" s="162" t="s">
        <v>424</v>
      </c>
      <c r="J48" s="162">
        <v>52</v>
      </c>
      <c r="K48" s="165">
        <v>21.7</v>
      </c>
      <c r="L48" s="165"/>
      <c r="M48" s="162" t="s">
        <v>335</v>
      </c>
      <c r="N48" s="166">
        <v>25</v>
      </c>
      <c r="O48" s="166" t="s">
        <v>424</v>
      </c>
      <c r="P48" s="205">
        <v>35</v>
      </c>
      <c r="Q48" s="206">
        <f>ROUND(N48*P48/60,1)</f>
        <v>14.6</v>
      </c>
      <c r="R48" s="207"/>
      <c r="S48" s="208">
        <f aca="true" t="shared" si="13" ref="S48:S55">Q48-K48</f>
        <v>-7.1</v>
      </c>
      <c r="T48" s="162" t="s">
        <v>330</v>
      </c>
      <c r="U48" s="205"/>
      <c r="V48" s="209"/>
      <c r="W48" s="205"/>
      <c r="X48" s="206">
        <v>3.6</v>
      </c>
      <c r="Y48" s="226">
        <v>3.6</v>
      </c>
      <c r="Z48" s="210"/>
      <c r="AA48" s="168">
        <f t="shared" si="10"/>
        <v>-11</v>
      </c>
      <c r="AB48" s="168"/>
      <c r="AC48" s="168">
        <f t="shared" si="11"/>
        <v>-11</v>
      </c>
      <c r="AE48" s="128"/>
      <c r="AI48" s="174"/>
      <c r="AJ48" s="174"/>
      <c r="AM48" s="175">
        <f t="shared" si="12"/>
        <v>0</v>
      </c>
      <c r="AN48" s="176" t="s">
        <v>331</v>
      </c>
      <c r="AO48" s="177"/>
      <c r="AP48" s="189"/>
      <c r="AQ48" s="177"/>
      <c r="AR48" s="180">
        <v>3.6</v>
      </c>
      <c r="AS48" s="124"/>
      <c r="AT48" s="181">
        <f t="shared" si="0"/>
        <v>0</v>
      </c>
      <c r="AU48" s="182">
        <f t="shared" si="1"/>
        <v>0</v>
      </c>
      <c r="AV48" s="167">
        <f t="shared" si="6"/>
        <v>0</v>
      </c>
      <c r="AX48" s="110"/>
      <c r="BO48" s="159">
        <v>3.6</v>
      </c>
      <c r="BP48" s="160">
        <f t="shared" si="7"/>
        <v>0</v>
      </c>
      <c r="BQ48" s="131"/>
      <c r="BR48" s="132"/>
      <c r="BS48" s="133"/>
      <c r="BT48" s="134"/>
      <c r="BU48" s="135"/>
      <c r="CY48" s="136"/>
    </row>
    <row r="49" spans="1:103" s="238" customFormat="1" ht="44.25" customHeight="1">
      <c r="A49" s="229">
        <v>9</v>
      </c>
      <c r="B49" s="230">
        <v>1</v>
      </c>
      <c r="C49" s="231">
        <v>1</v>
      </c>
      <c r="D49" s="162" t="s">
        <v>435</v>
      </c>
      <c r="E49" s="232" t="s">
        <v>436</v>
      </c>
      <c r="F49" s="224" t="s">
        <v>437</v>
      </c>
      <c r="G49" s="233"/>
      <c r="H49" s="205"/>
      <c r="I49" s="234"/>
      <c r="J49" s="205"/>
      <c r="K49" s="207"/>
      <c r="L49" s="207"/>
      <c r="M49" s="166" t="s">
        <v>335</v>
      </c>
      <c r="N49" s="205">
        <v>30</v>
      </c>
      <c r="O49" s="235"/>
      <c r="P49" s="236">
        <v>12</v>
      </c>
      <c r="Q49" s="237">
        <f>ROUND(N49*P49/60,1)</f>
        <v>6</v>
      </c>
      <c r="R49" s="236"/>
      <c r="S49" s="222">
        <f t="shared" si="13"/>
        <v>6</v>
      </c>
      <c r="T49" s="162" t="s">
        <v>330</v>
      </c>
      <c r="U49" s="205"/>
      <c r="V49" s="209"/>
      <c r="W49" s="205"/>
      <c r="X49" s="206">
        <v>5.8</v>
      </c>
      <c r="Y49" s="226">
        <v>5.8</v>
      </c>
      <c r="Z49" s="207"/>
      <c r="AA49" s="168">
        <f t="shared" si="10"/>
        <v>-0.20000000000000018</v>
      </c>
      <c r="AB49" s="168"/>
      <c r="AC49" s="168">
        <f t="shared" si="11"/>
        <v>-0.20000000000000018</v>
      </c>
      <c r="AE49" s="239"/>
      <c r="AF49" s="239"/>
      <c r="AG49" s="239"/>
      <c r="AH49" s="239"/>
      <c r="AI49" s="240"/>
      <c r="AJ49" s="240"/>
      <c r="AK49" s="239"/>
      <c r="AL49" s="239"/>
      <c r="AM49" s="175">
        <f t="shared" si="12"/>
        <v>0</v>
      </c>
      <c r="AN49" s="176" t="s">
        <v>331</v>
      </c>
      <c r="AO49" s="177">
        <v>29</v>
      </c>
      <c r="AP49" s="189"/>
      <c r="AQ49" s="179">
        <v>12</v>
      </c>
      <c r="AR49" s="241">
        <v>5.8</v>
      </c>
      <c r="AS49" s="124"/>
      <c r="AT49" s="181">
        <f t="shared" si="0"/>
        <v>0</v>
      </c>
      <c r="AU49" s="182">
        <f t="shared" si="1"/>
        <v>0</v>
      </c>
      <c r="AV49" s="167">
        <f t="shared" si="6"/>
        <v>0</v>
      </c>
      <c r="AX49" s="229"/>
      <c r="BO49" s="159">
        <f>ROUND(AO49*AQ49/60,1)</f>
        <v>5.8</v>
      </c>
      <c r="BP49" s="160">
        <f t="shared" si="7"/>
        <v>0</v>
      </c>
      <c r="BQ49" s="131"/>
      <c r="BR49" s="132"/>
      <c r="BS49" s="242"/>
      <c r="BT49" s="243"/>
      <c r="BU49" s="244"/>
      <c r="CY49" s="245"/>
    </row>
    <row r="50" spans="1:103" s="238" customFormat="1" ht="41.25" customHeight="1">
      <c r="A50" s="229">
        <v>9</v>
      </c>
      <c r="B50" s="230">
        <v>1</v>
      </c>
      <c r="C50" s="231">
        <v>1</v>
      </c>
      <c r="D50" s="162" t="s">
        <v>438</v>
      </c>
      <c r="E50" s="232" t="s">
        <v>439</v>
      </c>
      <c r="F50" s="246" t="s">
        <v>437</v>
      </c>
      <c r="G50" s="233"/>
      <c r="H50" s="205"/>
      <c r="I50" s="234"/>
      <c r="J50" s="205"/>
      <c r="K50" s="207"/>
      <c r="L50" s="207"/>
      <c r="M50" s="166" t="s">
        <v>335</v>
      </c>
      <c r="N50" s="205">
        <v>40</v>
      </c>
      <c r="O50" s="235"/>
      <c r="P50" s="236">
        <v>25</v>
      </c>
      <c r="Q50" s="237">
        <f>ROUND(N50*P50/60,1)</f>
        <v>16.7</v>
      </c>
      <c r="R50" s="236"/>
      <c r="S50" s="222">
        <f t="shared" si="13"/>
        <v>16.7</v>
      </c>
      <c r="T50" s="162" t="s">
        <v>330</v>
      </c>
      <c r="U50" s="205"/>
      <c r="V50" s="209"/>
      <c r="W50" s="205"/>
      <c r="X50" s="206">
        <v>7</v>
      </c>
      <c r="Y50" s="226">
        <v>7</v>
      </c>
      <c r="Z50" s="207"/>
      <c r="AA50" s="168">
        <f t="shared" si="10"/>
        <v>-9.7</v>
      </c>
      <c r="AB50" s="168"/>
      <c r="AC50" s="168">
        <f t="shared" si="11"/>
        <v>-9.7</v>
      </c>
      <c r="AE50" s="239"/>
      <c r="AF50" s="239"/>
      <c r="AG50" s="239"/>
      <c r="AH50" s="239"/>
      <c r="AI50" s="240"/>
      <c r="AJ50" s="240"/>
      <c r="AK50" s="239"/>
      <c r="AL50" s="239"/>
      <c r="AM50" s="175">
        <f t="shared" si="12"/>
        <v>0</v>
      </c>
      <c r="AN50" s="176" t="s">
        <v>331</v>
      </c>
      <c r="AO50" s="177">
        <v>42</v>
      </c>
      <c r="AP50" s="189"/>
      <c r="AQ50" s="179">
        <v>10</v>
      </c>
      <c r="AR50" s="241">
        <v>7</v>
      </c>
      <c r="AS50" s="124"/>
      <c r="AT50" s="181">
        <f t="shared" si="0"/>
        <v>0</v>
      </c>
      <c r="AU50" s="182">
        <f t="shared" si="1"/>
        <v>0</v>
      </c>
      <c r="AV50" s="167">
        <f t="shared" si="6"/>
        <v>0</v>
      </c>
      <c r="AX50" s="229"/>
      <c r="BO50" s="159">
        <f>ROUND(AO50*AQ50/60,1)</f>
        <v>7</v>
      </c>
      <c r="BP50" s="160">
        <f t="shared" si="7"/>
        <v>0</v>
      </c>
      <c r="BQ50" s="131"/>
      <c r="BR50" s="132"/>
      <c r="BS50" s="242"/>
      <c r="BT50" s="243"/>
      <c r="BU50" s="244"/>
      <c r="CY50" s="245"/>
    </row>
    <row r="51" spans="1:103" s="254" customFormat="1" ht="154.5" customHeight="1">
      <c r="A51" s="247">
        <v>9</v>
      </c>
      <c r="B51" s="137" t="s">
        <v>333</v>
      </c>
      <c r="C51" s="248" t="s">
        <v>333</v>
      </c>
      <c r="D51" s="166" t="s">
        <v>440</v>
      </c>
      <c r="E51" s="249" t="s">
        <v>441</v>
      </c>
      <c r="F51" s="250" t="s">
        <v>442</v>
      </c>
      <c r="G51" s="166" t="s">
        <v>335</v>
      </c>
      <c r="H51" s="166"/>
      <c r="I51" s="166"/>
      <c r="J51" s="166"/>
      <c r="K51" s="168">
        <f>176-20</f>
        <v>156</v>
      </c>
      <c r="L51" s="168"/>
      <c r="M51" s="166" t="s">
        <v>335</v>
      </c>
      <c r="N51" s="251"/>
      <c r="O51" s="251"/>
      <c r="P51" s="251"/>
      <c r="Q51" s="252">
        <f>156-17.5</f>
        <v>138.5</v>
      </c>
      <c r="R51" s="253"/>
      <c r="S51" s="208">
        <f t="shared" si="13"/>
        <v>-17.5</v>
      </c>
      <c r="T51" s="162" t="s">
        <v>330</v>
      </c>
      <c r="U51" s="205"/>
      <c r="V51" s="209"/>
      <c r="W51" s="205"/>
      <c r="X51" s="206">
        <f>346.3-0.2</f>
        <v>346.1</v>
      </c>
      <c r="Y51" s="226">
        <f>366.3-20</f>
        <v>346.3</v>
      </c>
      <c r="Z51" s="210"/>
      <c r="AA51" s="168">
        <f t="shared" si="10"/>
        <v>207.60000000000002</v>
      </c>
      <c r="AB51" s="168"/>
      <c r="AC51" s="168">
        <f t="shared" si="11"/>
        <v>207.60000000000002</v>
      </c>
      <c r="AE51" s="255"/>
      <c r="AF51" s="255"/>
      <c r="AG51" s="255"/>
      <c r="AH51" s="255"/>
      <c r="AI51" s="256"/>
      <c r="AJ51" s="256"/>
      <c r="AK51" s="255"/>
      <c r="AL51" s="255"/>
      <c r="AM51" s="175">
        <f t="shared" si="12"/>
        <v>-0.19999999999998863</v>
      </c>
      <c r="AN51" s="176" t="s">
        <v>331</v>
      </c>
      <c r="AO51" s="177"/>
      <c r="AP51" s="189"/>
      <c r="AQ51" s="179"/>
      <c r="AR51" s="257">
        <v>384.9</v>
      </c>
      <c r="AS51" s="124"/>
      <c r="AT51" s="181">
        <f t="shared" si="0"/>
        <v>38.799999999999955</v>
      </c>
      <c r="AU51" s="182">
        <f t="shared" si="1"/>
        <v>0</v>
      </c>
      <c r="AV51" s="167">
        <f t="shared" si="6"/>
        <v>38.799999999999955</v>
      </c>
      <c r="AX51" s="247"/>
      <c r="BO51" s="159">
        <v>384.9</v>
      </c>
      <c r="BP51" s="160">
        <f t="shared" si="7"/>
        <v>0</v>
      </c>
      <c r="BQ51" s="131"/>
      <c r="BR51" s="132"/>
      <c r="BS51" s="258"/>
      <c r="BT51" s="259"/>
      <c r="BU51" s="260"/>
      <c r="CY51" s="261"/>
    </row>
    <row r="52" spans="1:103" s="132" customFormat="1" ht="62.25" customHeight="1">
      <c r="A52" s="117">
        <v>10</v>
      </c>
      <c r="B52" s="137" t="s">
        <v>333</v>
      </c>
      <c r="C52" s="248" t="s">
        <v>333</v>
      </c>
      <c r="D52" s="166" t="s">
        <v>443</v>
      </c>
      <c r="E52" s="232" t="s">
        <v>444</v>
      </c>
      <c r="F52" s="262" t="s">
        <v>445</v>
      </c>
      <c r="G52" s="166" t="s">
        <v>335</v>
      </c>
      <c r="H52" s="166"/>
      <c r="I52" s="166"/>
      <c r="J52" s="166"/>
      <c r="K52" s="168">
        <v>20</v>
      </c>
      <c r="L52" s="168"/>
      <c r="M52" s="166" t="s">
        <v>335</v>
      </c>
      <c r="N52" s="166"/>
      <c r="O52" s="166"/>
      <c r="P52" s="166"/>
      <c r="Q52" s="206">
        <v>10</v>
      </c>
      <c r="R52" s="206"/>
      <c r="S52" s="208">
        <f t="shared" si="13"/>
        <v>-10</v>
      </c>
      <c r="T52" s="162" t="s">
        <v>330</v>
      </c>
      <c r="U52" s="205"/>
      <c r="V52" s="209"/>
      <c r="W52" s="205"/>
      <c r="X52" s="206">
        <f>4.9-1.3</f>
        <v>3.6000000000000005</v>
      </c>
      <c r="Y52" s="226">
        <v>4.9</v>
      </c>
      <c r="Z52" s="210"/>
      <c r="AA52" s="168">
        <f t="shared" si="10"/>
        <v>-6.3999999999999995</v>
      </c>
      <c r="AB52" s="168"/>
      <c r="AC52" s="168">
        <f t="shared" si="11"/>
        <v>-6.3999999999999995</v>
      </c>
      <c r="AE52" s="263" t="s">
        <v>446</v>
      </c>
      <c r="AI52" s="174"/>
      <c r="AJ52" s="174"/>
      <c r="AM52" s="175">
        <f t="shared" si="12"/>
        <v>-1.2999999999999998</v>
      </c>
      <c r="AN52" s="176" t="s">
        <v>331</v>
      </c>
      <c r="AO52" s="177"/>
      <c r="AP52" s="189"/>
      <c r="AQ52" s="179"/>
      <c r="AR52" s="180">
        <v>3.6</v>
      </c>
      <c r="AS52" s="124"/>
      <c r="AT52" s="181">
        <f aca="true" t="shared" si="14" ref="AT52:AT83">AR52-X52</f>
        <v>0</v>
      </c>
      <c r="AU52" s="182">
        <f aca="true" t="shared" si="15" ref="AU52:AU83">AS52-Z52</f>
        <v>0</v>
      </c>
      <c r="AV52" s="167">
        <f t="shared" si="6"/>
        <v>0</v>
      </c>
      <c r="AX52" s="117"/>
      <c r="BO52" s="159">
        <v>3.6</v>
      </c>
      <c r="BP52" s="160">
        <f t="shared" si="7"/>
        <v>0</v>
      </c>
      <c r="BQ52" s="131"/>
      <c r="BS52" s="133"/>
      <c r="BT52" s="134"/>
      <c r="BU52" s="135"/>
      <c r="CY52" s="161"/>
    </row>
    <row r="53" spans="1:103" s="132" customFormat="1" ht="62.25" customHeight="1">
      <c r="A53" s="117"/>
      <c r="B53" s="137"/>
      <c r="C53" s="248"/>
      <c r="D53" s="264" t="s">
        <v>447</v>
      </c>
      <c r="E53" s="265" t="s">
        <v>448</v>
      </c>
      <c r="F53" s="266" t="s">
        <v>449</v>
      </c>
      <c r="G53" s="166"/>
      <c r="H53" s="166"/>
      <c r="I53" s="166"/>
      <c r="J53" s="166"/>
      <c r="K53" s="168"/>
      <c r="L53" s="168"/>
      <c r="M53" s="166" t="s">
        <v>335</v>
      </c>
      <c r="N53" s="166"/>
      <c r="O53" s="166"/>
      <c r="P53" s="166"/>
      <c r="Q53" s="206"/>
      <c r="R53" s="206"/>
      <c r="S53" s="208"/>
      <c r="T53" s="162" t="s">
        <v>330</v>
      </c>
      <c r="U53" s="205"/>
      <c r="V53" s="209"/>
      <c r="W53" s="205"/>
      <c r="X53" s="206">
        <v>1.3</v>
      </c>
      <c r="Y53" s="226"/>
      <c r="Z53" s="210"/>
      <c r="AA53" s="168">
        <f t="shared" si="10"/>
        <v>1.3</v>
      </c>
      <c r="AB53" s="168"/>
      <c r="AC53" s="168">
        <f t="shared" si="11"/>
        <v>1.3</v>
      </c>
      <c r="AE53" s="263"/>
      <c r="AI53" s="174"/>
      <c r="AJ53" s="174"/>
      <c r="AM53" s="175"/>
      <c r="AN53" s="176" t="s">
        <v>331</v>
      </c>
      <c r="AO53" s="177"/>
      <c r="AP53" s="189"/>
      <c r="AQ53" s="177"/>
      <c r="AR53" s="180">
        <v>1</v>
      </c>
      <c r="AS53" s="124"/>
      <c r="AT53" s="181">
        <f t="shared" si="14"/>
        <v>-0.30000000000000004</v>
      </c>
      <c r="AU53" s="182">
        <f t="shared" si="15"/>
        <v>0</v>
      </c>
      <c r="AV53" s="167">
        <f t="shared" si="6"/>
        <v>-0.30000000000000004</v>
      </c>
      <c r="AX53" s="117"/>
      <c r="BO53" s="159">
        <v>1</v>
      </c>
      <c r="BP53" s="160">
        <f t="shared" si="7"/>
        <v>0</v>
      </c>
      <c r="BQ53" s="131"/>
      <c r="BS53" s="133"/>
      <c r="BT53" s="134"/>
      <c r="BU53" s="135"/>
      <c r="CY53" s="161"/>
    </row>
    <row r="54" spans="1:103" s="238" customFormat="1" ht="79.5" customHeight="1">
      <c r="A54" s="229">
        <v>2</v>
      </c>
      <c r="B54" s="267">
        <v>1</v>
      </c>
      <c r="C54" s="268">
        <v>1</v>
      </c>
      <c r="D54" s="269" t="s">
        <v>450</v>
      </c>
      <c r="E54" s="270" t="s">
        <v>451</v>
      </c>
      <c r="F54" s="271" t="s">
        <v>452</v>
      </c>
      <c r="G54" s="233"/>
      <c r="H54" s="272"/>
      <c r="I54" s="272"/>
      <c r="J54" s="272"/>
      <c r="K54" s="272"/>
      <c r="L54" s="272"/>
      <c r="M54" s="166" t="s">
        <v>335</v>
      </c>
      <c r="N54" s="216">
        <v>10</v>
      </c>
      <c r="O54" s="273" t="s">
        <v>453</v>
      </c>
      <c r="P54" s="216">
        <f>36*5</f>
        <v>180</v>
      </c>
      <c r="Q54" s="206">
        <f>ROUND(N54*P54/60,1)</f>
        <v>30</v>
      </c>
      <c r="R54" s="207"/>
      <c r="S54" s="222">
        <f t="shared" si="13"/>
        <v>30</v>
      </c>
      <c r="T54" s="162" t="s">
        <v>330</v>
      </c>
      <c r="U54" s="205">
        <v>10</v>
      </c>
      <c r="V54" s="209"/>
      <c r="W54" s="205">
        <v>10</v>
      </c>
      <c r="X54" s="206">
        <v>1.7</v>
      </c>
      <c r="Y54" s="172">
        <f>ROUND(U54*W54/60,1)</f>
        <v>1.7</v>
      </c>
      <c r="Z54" s="207"/>
      <c r="AA54" s="168">
        <f t="shared" si="10"/>
        <v>-28.3</v>
      </c>
      <c r="AB54" s="168"/>
      <c r="AC54" s="168">
        <f t="shared" si="11"/>
        <v>-28.3</v>
      </c>
      <c r="AE54" s="239"/>
      <c r="AF54" s="239"/>
      <c r="AG54" s="239"/>
      <c r="AH54" s="239"/>
      <c r="AI54" s="240"/>
      <c r="AJ54" s="240"/>
      <c r="AK54" s="239"/>
      <c r="AL54" s="239"/>
      <c r="AM54" s="175">
        <f t="shared" si="12"/>
        <v>0</v>
      </c>
      <c r="AN54" s="176" t="s">
        <v>331</v>
      </c>
      <c r="AO54" s="177"/>
      <c r="AP54" s="189"/>
      <c r="AQ54" s="179"/>
      <c r="AR54" s="241"/>
      <c r="AS54" s="124"/>
      <c r="AT54" s="181">
        <f t="shared" si="14"/>
        <v>-1.7</v>
      </c>
      <c r="AU54" s="182">
        <f t="shared" si="15"/>
        <v>0</v>
      </c>
      <c r="AV54" s="167">
        <f t="shared" si="6"/>
        <v>-1.7</v>
      </c>
      <c r="AX54" s="229"/>
      <c r="BO54" s="159">
        <f>ROUND(AO54*AQ54/60,1)</f>
        <v>0</v>
      </c>
      <c r="BP54" s="160">
        <f t="shared" si="7"/>
        <v>0</v>
      </c>
      <c r="BQ54" s="131"/>
      <c r="BR54" s="132"/>
      <c r="BS54" s="242"/>
      <c r="BT54" s="243"/>
      <c r="BU54" s="244"/>
      <c r="CY54" s="245"/>
    </row>
    <row r="55" spans="1:103" s="238" customFormat="1" ht="92.25" customHeight="1">
      <c r="A55" s="229">
        <v>2</v>
      </c>
      <c r="B55" s="267">
        <v>1</v>
      </c>
      <c r="C55" s="268">
        <v>1</v>
      </c>
      <c r="D55" s="269" t="s">
        <v>454</v>
      </c>
      <c r="E55" s="271" t="s">
        <v>455</v>
      </c>
      <c r="F55" s="274" t="s">
        <v>456</v>
      </c>
      <c r="G55" s="275"/>
      <c r="H55" s="272"/>
      <c r="I55" s="272"/>
      <c r="J55" s="272"/>
      <c r="K55" s="272"/>
      <c r="L55" s="272"/>
      <c r="M55" s="166" t="s">
        <v>335</v>
      </c>
      <c r="N55" s="216" t="s">
        <v>457</v>
      </c>
      <c r="O55" s="273" t="s">
        <v>453</v>
      </c>
      <c r="P55" s="216">
        <f>37*5</f>
        <v>185</v>
      </c>
      <c r="Q55" s="206">
        <f>ROUND(N55*P55/60,1)</f>
        <v>21.6</v>
      </c>
      <c r="R55" s="207"/>
      <c r="S55" s="222">
        <f t="shared" si="13"/>
        <v>21.6</v>
      </c>
      <c r="T55" s="162" t="s">
        <v>330</v>
      </c>
      <c r="U55" s="205">
        <v>5</v>
      </c>
      <c r="V55" s="234" t="s">
        <v>458</v>
      </c>
      <c r="W55" s="205">
        <v>40</v>
      </c>
      <c r="X55" s="206">
        <v>3.3</v>
      </c>
      <c r="Y55" s="172">
        <f>ROUND(U55*W55/60,1)</f>
        <v>3.3</v>
      </c>
      <c r="Z55" s="207"/>
      <c r="AA55" s="168">
        <f t="shared" si="10"/>
        <v>-18.3</v>
      </c>
      <c r="AB55" s="168"/>
      <c r="AC55" s="168">
        <f t="shared" si="11"/>
        <v>-18.3</v>
      </c>
      <c r="AE55" s="239"/>
      <c r="AF55" s="239"/>
      <c r="AG55" s="239"/>
      <c r="AH55" s="239"/>
      <c r="AI55" s="240"/>
      <c r="AJ55" s="240"/>
      <c r="AK55" s="239"/>
      <c r="AL55" s="239"/>
      <c r="AM55" s="175">
        <f t="shared" si="12"/>
        <v>0</v>
      </c>
      <c r="AN55" s="176" t="s">
        <v>331</v>
      </c>
      <c r="AO55" s="177">
        <v>5</v>
      </c>
      <c r="AP55" s="273" t="s">
        <v>459</v>
      </c>
      <c r="AQ55" s="179">
        <v>15</v>
      </c>
      <c r="AR55" s="241">
        <v>1.3</v>
      </c>
      <c r="AS55" s="124"/>
      <c r="AT55" s="181">
        <f t="shared" si="14"/>
        <v>-1.9999999999999998</v>
      </c>
      <c r="AU55" s="182">
        <f t="shared" si="15"/>
        <v>0</v>
      </c>
      <c r="AV55" s="167">
        <f t="shared" si="6"/>
        <v>-1.9999999999999998</v>
      </c>
      <c r="AX55" s="229"/>
      <c r="BO55" s="159">
        <f>ROUND(AO55*AQ55/60,1)</f>
        <v>1.3</v>
      </c>
      <c r="BP55" s="160">
        <f t="shared" si="7"/>
        <v>0</v>
      </c>
      <c r="BQ55" s="131"/>
      <c r="BR55" s="132"/>
      <c r="BS55" s="242"/>
      <c r="BT55" s="243"/>
      <c r="BU55" s="244"/>
      <c r="CY55" s="245"/>
    </row>
    <row r="56" spans="1:103" s="132" customFormat="1" ht="61.5" customHeight="1">
      <c r="A56" s="132">
        <v>2</v>
      </c>
      <c r="B56" s="137" t="s">
        <v>333</v>
      </c>
      <c r="C56" s="248"/>
      <c r="D56" s="269" t="s">
        <v>460</v>
      </c>
      <c r="E56" s="276" t="s">
        <v>461</v>
      </c>
      <c r="F56" s="277" t="s">
        <v>462</v>
      </c>
      <c r="G56" s="278"/>
      <c r="H56" s="166"/>
      <c r="I56" s="166"/>
      <c r="J56" s="166"/>
      <c r="K56" s="168"/>
      <c r="L56" s="168"/>
      <c r="M56" s="166"/>
      <c r="N56" s="166"/>
      <c r="O56" s="279"/>
      <c r="P56" s="166"/>
      <c r="Q56" s="167"/>
      <c r="R56" s="168"/>
      <c r="S56" s="210"/>
      <c r="T56" s="166" t="s">
        <v>330</v>
      </c>
      <c r="U56" s="205">
        <v>55</v>
      </c>
      <c r="V56" s="170"/>
      <c r="W56" s="205">
        <v>4</v>
      </c>
      <c r="X56" s="206">
        <v>3.7</v>
      </c>
      <c r="Y56" s="171">
        <f>ROUND(U56*W56/60,1)</f>
        <v>3.7</v>
      </c>
      <c r="Z56" s="207"/>
      <c r="AA56" s="168">
        <f t="shared" si="10"/>
        <v>3.7</v>
      </c>
      <c r="AB56" s="168"/>
      <c r="AC56" s="168">
        <f t="shared" si="11"/>
        <v>3.7</v>
      </c>
      <c r="AE56" s="211"/>
      <c r="AM56" s="150">
        <f t="shared" si="12"/>
        <v>0</v>
      </c>
      <c r="AN56" s="195" t="s">
        <v>331</v>
      </c>
      <c r="AO56" s="180">
        <v>55.5</v>
      </c>
      <c r="AP56" s="196"/>
      <c r="AQ56" s="197">
        <v>4</v>
      </c>
      <c r="AR56" s="241">
        <v>3.7</v>
      </c>
      <c r="AS56" s="124"/>
      <c r="AT56" s="181">
        <f t="shared" si="14"/>
        <v>0</v>
      </c>
      <c r="AU56" s="182">
        <f t="shared" si="15"/>
        <v>0</v>
      </c>
      <c r="AV56" s="167">
        <f t="shared" si="6"/>
        <v>0</v>
      </c>
      <c r="AX56" s="117"/>
      <c r="BO56" s="159">
        <f>ROUND(AO56*AQ56/60,1)</f>
        <v>3.7</v>
      </c>
      <c r="BP56" s="160">
        <f t="shared" si="7"/>
        <v>0</v>
      </c>
      <c r="BQ56" s="131"/>
      <c r="BS56" s="133"/>
      <c r="BT56" s="134"/>
      <c r="BU56" s="135"/>
      <c r="CY56" s="161"/>
    </row>
    <row r="57" spans="1:103" s="292" customFormat="1" ht="47.25" customHeight="1">
      <c r="A57" s="280">
        <v>1</v>
      </c>
      <c r="B57" s="281">
        <v>1</v>
      </c>
      <c r="C57" s="282"/>
      <c r="D57" s="283" t="s">
        <v>463</v>
      </c>
      <c r="E57" s="284" t="s">
        <v>464</v>
      </c>
      <c r="F57" s="285" t="s">
        <v>465</v>
      </c>
      <c r="G57" s="286"/>
      <c r="H57" s="287"/>
      <c r="I57" s="288"/>
      <c r="J57" s="287"/>
      <c r="K57" s="289"/>
      <c r="L57" s="289"/>
      <c r="M57" s="289"/>
      <c r="N57" s="290"/>
      <c r="O57" s="290"/>
      <c r="P57" s="290"/>
      <c r="Q57" s="291"/>
      <c r="R57" s="290"/>
      <c r="S57" s="222"/>
      <c r="T57" s="162" t="s">
        <v>330</v>
      </c>
      <c r="U57" s="205"/>
      <c r="V57" s="209"/>
      <c r="W57" s="205"/>
      <c r="X57" s="206">
        <f>1.1+0.3</f>
        <v>1.4000000000000001</v>
      </c>
      <c r="Y57" s="172">
        <v>1.5</v>
      </c>
      <c r="Z57" s="210"/>
      <c r="AA57" s="168">
        <f t="shared" si="10"/>
        <v>1.4000000000000001</v>
      </c>
      <c r="AB57" s="168"/>
      <c r="AC57" s="168">
        <f t="shared" si="11"/>
        <v>1.4000000000000001</v>
      </c>
      <c r="AE57" s="255"/>
      <c r="AF57" s="255"/>
      <c r="AG57" s="255"/>
      <c r="AH57" s="255"/>
      <c r="AI57" s="256"/>
      <c r="AJ57" s="256"/>
      <c r="AK57" s="255"/>
      <c r="AL57" s="255"/>
      <c r="AM57" s="175">
        <f t="shared" si="12"/>
        <v>-0.09999999999999987</v>
      </c>
      <c r="AN57" s="176" t="s">
        <v>331</v>
      </c>
      <c r="AO57" s="177">
        <v>64</v>
      </c>
      <c r="AP57" s="189"/>
      <c r="AQ57" s="179"/>
      <c r="AR57" s="257">
        <v>1.4</v>
      </c>
      <c r="AS57" s="124"/>
      <c r="AT57" s="181">
        <f t="shared" si="14"/>
        <v>0</v>
      </c>
      <c r="AU57" s="182">
        <f t="shared" si="15"/>
        <v>0</v>
      </c>
      <c r="AV57" s="167">
        <f t="shared" si="6"/>
        <v>0</v>
      </c>
      <c r="AX57" s="247"/>
      <c r="BO57" s="159">
        <v>1.4</v>
      </c>
      <c r="BP57" s="160">
        <f t="shared" si="7"/>
        <v>0</v>
      </c>
      <c r="BQ57" s="131"/>
      <c r="BR57" s="132"/>
      <c r="BS57" s="258"/>
      <c r="BT57" s="259"/>
      <c r="BU57" s="260"/>
      <c r="CY57" s="293"/>
    </row>
    <row r="58" spans="1:103" s="132" customFormat="1" ht="108.75" customHeight="1">
      <c r="A58" s="117">
        <v>2</v>
      </c>
      <c r="B58" s="137" t="s">
        <v>333</v>
      </c>
      <c r="C58" s="248"/>
      <c r="D58" s="166" t="s">
        <v>466</v>
      </c>
      <c r="E58" s="232" t="s">
        <v>467</v>
      </c>
      <c r="F58" s="294" t="s">
        <v>468</v>
      </c>
      <c r="G58" s="166"/>
      <c r="H58" s="166"/>
      <c r="I58" s="166"/>
      <c r="J58" s="166"/>
      <c r="K58" s="168"/>
      <c r="L58" s="168"/>
      <c r="M58" s="166"/>
      <c r="N58" s="166"/>
      <c r="O58" s="166"/>
      <c r="P58" s="166"/>
      <c r="Q58" s="167"/>
      <c r="R58" s="168"/>
      <c r="S58" s="210"/>
      <c r="T58" s="162" t="s">
        <v>330</v>
      </c>
      <c r="U58" s="205">
        <v>50</v>
      </c>
      <c r="V58" s="170" t="s">
        <v>377</v>
      </c>
      <c r="W58" s="205">
        <v>21</v>
      </c>
      <c r="X58" s="206">
        <v>17.5</v>
      </c>
      <c r="Y58" s="172">
        <f>ROUND(U58*W58/60,1)</f>
        <v>17.5</v>
      </c>
      <c r="Z58" s="210"/>
      <c r="AA58" s="168">
        <f t="shared" si="10"/>
        <v>17.5</v>
      </c>
      <c r="AB58" s="168"/>
      <c r="AC58" s="168">
        <f t="shared" si="11"/>
        <v>17.5</v>
      </c>
      <c r="AE58" s="149"/>
      <c r="AM58" s="175">
        <f t="shared" si="12"/>
        <v>0</v>
      </c>
      <c r="AN58" s="176" t="s">
        <v>331</v>
      </c>
      <c r="AO58" s="177">
        <v>52.5</v>
      </c>
      <c r="AP58" s="178" t="s">
        <v>469</v>
      </c>
      <c r="AQ58" s="179">
        <v>22</v>
      </c>
      <c r="AR58" s="180">
        <v>19.3</v>
      </c>
      <c r="AS58" s="124"/>
      <c r="AT58" s="181">
        <f t="shared" si="14"/>
        <v>1.8000000000000007</v>
      </c>
      <c r="AU58" s="182">
        <f t="shared" si="15"/>
        <v>0</v>
      </c>
      <c r="AV58" s="167">
        <f t="shared" si="6"/>
        <v>1.8000000000000007</v>
      </c>
      <c r="AX58" s="117"/>
      <c r="BO58" s="159">
        <f>ROUND(AO58*AQ58/60,1)</f>
        <v>19.3</v>
      </c>
      <c r="BP58" s="160">
        <f t="shared" si="7"/>
        <v>0</v>
      </c>
      <c r="BQ58" s="131"/>
      <c r="BS58" s="133"/>
      <c r="BT58" s="134"/>
      <c r="BU58" s="135"/>
      <c r="CY58" s="161"/>
    </row>
    <row r="59" spans="1:103" s="306" customFormat="1" ht="32.25" customHeight="1">
      <c r="A59" s="295"/>
      <c r="B59" s="296" t="s">
        <v>333</v>
      </c>
      <c r="C59" s="297" t="s">
        <v>470</v>
      </c>
      <c r="D59" s="298" t="s">
        <v>471</v>
      </c>
      <c r="E59" s="170" t="s">
        <v>472</v>
      </c>
      <c r="F59" s="213" t="s">
        <v>473</v>
      </c>
      <c r="G59" s="299"/>
      <c r="H59" s="299"/>
      <c r="I59" s="299"/>
      <c r="J59" s="299"/>
      <c r="K59" s="300"/>
      <c r="L59" s="300"/>
      <c r="M59" s="299"/>
      <c r="N59" s="299"/>
      <c r="O59" s="299"/>
      <c r="P59" s="299"/>
      <c r="Q59" s="301"/>
      <c r="R59" s="301"/>
      <c r="S59" s="302"/>
      <c r="T59" s="162" t="s">
        <v>330</v>
      </c>
      <c r="U59" s="303"/>
      <c r="V59" s="301"/>
      <c r="W59" s="303"/>
      <c r="X59" s="304">
        <v>5.9</v>
      </c>
      <c r="Y59" s="219">
        <f>356/60</f>
        <v>5.933333333333334</v>
      </c>
      <c r="Z59" s="305"/>
      <c r="AA59" s="168">
        <f t="shared" si="10"/>
        <v>5.9</v>
      </c>
      <c r="AB59" s="168"/>
      <c r="AC59" s="168">
        <f t="shared" si="11"/>
        <v>5.9</v>
      </c>
      <c r="AE59" s="307"/>
      <c r="AI59" s="308"/>
      <c r="AJ59" s="308"/>
      <c r="AM59" s="175">
        <f t="shared" si="12"/>
        <v>-0.033333333333333215</v>
      </c>
      <c r="AN59" s="176" t="s">
        <v>331</v>
      </c>
      <c r="AO59" s="177"/>
      <c r="AP59" s="189"/>
      <c r="AQ59" s="179"/>
      <c r="AR59" s="309">
        <v>1.8</v>
      </c>
      <c r="AS59" s="124"/>
      <c r="AT59" s="181">
        <f t="shared" si="14"/>
        <v>-4.1000000000000005</v>
      </c>
      <c r="AU59" s="182">
        <f t="shared" si="15"/>
        <v>0</v>
      </c>
      <c r="AV59" s="167">
        <f t="shared" si="6"/>
        <v>-4.1000000000000005</v>
      </c>
      <c r="AX59" s="295"/>
      <c r="BO59" s="159">
        <v>1.8</v>
      </c>
      <c r="BP59" s="160">
        <f t="shared" si="7"/>
        <v>0</v>
      </c>
      <c r="BQ59" s="131"/>
      <c r="BR59" s="132"/>
      <c r="BS59" s="310"/>
      <c r="BT59" s="311"/>
      <c r="BU59" s="312"/>
      <c r="CY59" s="313"/>
    </row>
    <row r="60" spans="1:103" s="254" customFormat="1" ht="61.5" customHeight="1">
      <c r="A60" s="247">
        <v>1</v>
      </c>
      <c r="B60" s="267">
        <v>1</v>
      </c>
      <c r="C60" s="314"/>
      <c r="D60" s="315" t="s">
        <v>474</v>
      </c>
      <c r="E60" s="316" t="s">
        <v>475</v>
      </c>
      <c r="F60" s="317" t="s">
        <v>476</v>
      </c>
      <c r="G60" s="318"/>
      <c r="H60" s="319"/>
      <c r="I60" s="320"/>
      <c r="J60" s="319"/>
      <c r="K60" s="321"/>
      <c r="L60" s="321"/>
      <c r="M60" s="321"/>
      <c r="N60" s="322"/>
      <c r="O60" s="322"/>
      <c r="P60" s="322"/>
      <c r="Q60" s="323"/>
      <c r="R60" s="321"/>
      <c r="S60" s="324"/>
      <c r="T60" s="325" t="s">
        <v>330</v>
      </c>
      <c r="U60" s="326">
        <v>10</v>
      </c>
      <c r="V60" s="327"/>
      <c r="W60" s="326">
        <v>3</v>
      </c>
      <c r="X60" s="323">
        <v>0.5</v>
      </c>
      <c r="Y60" s="328">
        <f>ROUND(U60*W60/60,1)</f>
        <v>0.5</v>
      </c>
      <c r="Z60" s="322"/>
      <c r="AA60" s="329">
        <f>X60-Q60</f>
        <v>0.5</v>
      </c>
      <c r="AB60" s="329"/>
      <c r="AC60" s="329">
        <f aca="true" t="shared" si="16" ref="AC60:AC83">AB60+AA60</f>
        <v>0.5</v>
      </c>
      <c r="AE60" s="255"/>
      <c r="AF60" s="255"/>
      <c r="AG60" s="255"/>
      <c r="AH60" s="255"/>
      <c r="AI60" s="256"/>
      <c r="AJ60" s="256"/>
      <c r="AK60" s="255"/>
      <c r="AL60" s="255"/>
      <c r="AM60" s="175">
        <f aca="true" t="shared" si="17" ref="AM60:AM67">X60-Y60</f>
        <v>0</v>
      </c>
      <c r="AN60" s="176" t="s">
        <v>331</v>
      </c>
      <c r="AO60" s="177">
        <v>10</v>
      </c>
      <c r="AP60" s="189"/>
      <c r="AQ60" s="179">
        <v>10</v>
      </c>
      <c r="AR60" s="257">
        <v>1.7</v>
      </c>
      <c r="AS60" s="124"/>
      <c r="AT60" s="181">
        <f t="shared" si="14"/>
        <v>1.2</v>
      </c>
      <c r="AU60" s="182">
        <f t="shared" si="15"/>
        <v>0</v>
      </c>
      <c r="AV60" s="167">
        <f t="shared" si="6"/>
        <v>1.2</v>
      </c>
      <c r="AX60" s="247"/>
      <c r="BO60" s="159">
        <f>ROUND(AO60*AQ60/60,1)</f>
        <v>1.7</v>
      </c>
      <c r="BP60" s="160">
        <f t="shared" si="7"/>
        <v>0</v>
      </c>
      <c r="BQ60" s="131"/>
      <c r="BR60" s="132"/>
      <c r="BS60" s="258"/>
      <c r="BT60" s="259"/>
      <c r="BU60" s="260"/>
      <c r="CY60" s="261"/>
    </row>
    <row r="61" spans="1:103" s="80" customFormat="1" ht="48" customHeight="1">
      <c r="A61" s="110">
        <v>2</v>
      </c>
      <c r="B61" s="111" t="s">
        <v>333</v>
      </c>
      <c r="C61" s="215"/>
      <c r="D61" s="162" t="s">
        <v>477</v>
      </c>
      <c r="E61" s="163" t="s">
        <v>478</v>
      </c>
      <c r="F61" s="285" t="s">
        <v>479</v>
      </c>
      <c r="G61" s="162"/>
      <c r="H61" s="162"/>
      <c r="I61" s="162"/>
      <c r="J61" s="162"/>
      <c r="K61" s="165"/>
      <c r="L61" s="165"/>
      <c r="M61" s="162"/>
      <c r="N61" s="166"/>
      <c r="O61" s="166"/>
      <c r="P61" s="205"/>
      <c r="Q61" s="206"/>
      <c r="R61" s="207"/>
      <c r="S61" s="208"/>
      <c r="T61" s="162" t="s">
        <v>330</v>
      </c>
      <c r="U61" s="205">
        <v>20</v>
      </c>
      <c r="V61" s="209"/>
      <c r="W61" s="205">
        <f>9+13</f>
        <v>22</v>
      </c>
      <c r="X61" s="206">
        <v>7.3</v>
      </c>
      <c r="Y61" s="172">
        <f>ROUND(U61*W61/60,1)</f>
        <v>7.3</v>
      </c>
      <c r="Z61" s="210"/>
      <c r="AA61" s="168">
        <f>X61-Q61</f>
        <v>7.3</v>
      </c>
      <c r="AB61" s="168"/>
      <c r="AC61" s="168">
        <f t="shared" si="16"/>
        <v>7.3</v>
      </c>
      <c r="AE61" s="128"/>
      <c r="AI61" s="174"/>
      <c r="AJ61" s="174"/>
      <c r="AM61" s="175">
        <f t="shared" si="17"/>
        <v>0</v>
      </c>
      <c r="AN61" s="176" t="s">
        <v>331</v>
      </c>
      <c r="AO61" s="177">
        <v>21</v>
      </c>
      <c r="AP61" s="189" t="s">
        <v>480</v>
      </c>
      <c r="AQ61" s="179">
        <v>22</v>
      </c>
      <c r="AR61" s="180">
        <v>7.7</v>
      </c>
      <c r="AS61" s="124"/>
      <c r="AT61" s="181">
        <f t="shared" si="14"/>
        <v>0.40000000000000036</v>
      </c>
      <c r="AU61" s="182">
        <f t="shared" si="15"/>
        <v>0</v>
      </c>
      <c r="AV61" s="167">
        <f t="shared" si="6"/>
        <v>0.40000000000000036</v>
      </c>
      <c r="AX61" s="110"/>
      <c r="BO61" s="159">
        <f>ROUND(AO61*AQ61/60,1)</f>
        <v>7.7</v>
      </c>
      <c r="BP61" s="160">
        <f t="shared" si="7"/>
        <v>0</v>
      </c>
      <c r="BQ61" s="131"/>
      <c r="BR61" s="132"/>
      <c r="BS61" s="133"/>
      <c r="BT61" s="134"/>
      <c r="BU61" s="135"/>
      <c r="CY61" s="136"/>
    </row>
    <row r="62" spans="1:103" s="80" customFormat="1" ht="47.25" customHeight="1">
      <c r="A62" s="110"/>
      <c r="B62" s="111" t="s">
        <v>333</v>
      </c>
      <c r="C62" s="215" t="s">
        <v>333</v>
      </c>
      <c r="D62" s="162" t="s">
        <v>481</v>
      </c>
      <c r="E62" s="163" t="s">
        <v>482</v>
      </c>
      <c r="F62" s="213" t="s">
        <v>483</v>
      </c>
      <c r="G62" s="162" t="s">
        <v>335</v>
      </c>
      <c r="H62" s="162">
        <v>180</v>
      </c>
      <c r="I62" s="162" t="s">
        <v>484</v>
      </c>
      <c r="J62" s="162">
        <v>2</v>
      </c>
      <c r="K62" s="165"/>
      <c r="L62" s="165">
        <v>6</v>
      </c>
      <c r="M62" s="162" t="s">
        <v>335</v>
      </c>
      <c r="N62" s="166">
        <v>180</v>
      </c>
      <c r="O62" s="166" t="s">
        <v>484</v>
      </c>
      <c r="P62" s="166">
        <v>2</v>
      </c>
      <c r="Q62" s="167"/>
      <c r="R62" s="168">
        <v>6</v>
      </c>
      <c r="S62" s="115"/>
      <c r="T62" s="162" t="s">
        <v>330</v>
      </c>
      <c r="U62" s="169">
        <v>72</v>
      </c>
      <c r="V62" s="170"/>
      <c r="W62" s="169">
        <v>3</v>
      </c>
      <c r="X62" s="193"/>
      <c r="Y62" s="188"/>
      <c r="Z62" s="193">
        <v>3.6</v>
      </c>
      <c r="AA62" s="168"/>
      <c r="AB62" s="168">
        <f aca="true" t="shared" si="18" ref="AB62:AB83">Z62-R62</f>
        <v>-2.4</v>
      </c>
      <c r="AC62" s="168">
        <f t="shared" si="16"/>
        <v>-2.4</v>
      </c>
      <c r="AE62" s="128"/>
      <c r="AI62" s="174"/>
      <c r="AJ62" s="174"/>
      <c r="AM62" s="175">
        <f t="shared" si="17"/>
        <v>0</v>
      </c>
      <c r="AN62" s="176" t="s">
        <v>331</v>
      </c>
      <c r="AO62" s="177">
        <v>52</v>
      </c>
      <c r="AP62" s="189"/>
      <c r="AQ62" s="179">
        <v>5</v>
      </c>
      <c r="AR62" s="180"/>
      <c r="AS62" s="124">
        <v>4.3</v>
      </c>
      <c r="AT62" s="181">
        <f t="shared" si="14"/>
        <v>0</v>
      </c>
      <c r="AU62" s="182">
        <f t="shared" si="15"/>
        <v>0.6999999999999997</v>
      </c>
      <c r="AV62" s="167">
        <f t="shared" si="6"/>
        <v>0.6999999999999997</v>
      </c>
      <c r="AX62" s="110"/>
      <c r="BO62" s="159"/>
      <c r="BQ62" s="330">
        <f>ROUND(AO62*AQ62/60,1)</f>
        <v>4.3</v>
      </c>
      <c r="BR62" s="198"/>
      <c r="BS62" s="221">
        <f>AS62-BQ62</f>
        <v>0</v>
      </c>
      <c r="BT62" s="134"/>
      <c r="BU62" s="331">
        <f>AS62</f>
        <v>4.3</v>
      </c>
      <c r="CY62" s="136"/>
    </row>
    <row r="63" spans="1:103" s="80" customFormat="1" ht="39" customHeight="1">
      <c r="A63" s="110"/>
      <c r="B63" s="111" t="s">
        <v>333</v>
      </c>
      <c r="C63" s="215" t="s">
        <v>333</v>
      </c>
      <c r="D63" s="162" t="s">
        <v>485</v>
      </c>
      <c r="E63" s="163" t="s">
        <v>482</v>
      </c>
      <c r="F63" s="213" t="s">
        <v>483</v>
      </c>
      <c r="G63" s="162" t="s">
        <v>335</v>
      </c>
      <c r="H63" s="162">
        <v>180</v>
      </c>
      <c r="I63" s="162" t="s">
        <v>484</v>
      </c>
      <c r="J63" s="162">
        <v>2</v>
      </c>
      <c r="K63" s="165"/>
      <c r="L63" s="165">
        <v>6</v>
      </c>
      <c r="M63" s="162" t="s">
        <v>335</v>
      </c>
      <c r="N63" s="166">
        <v>180</v>
      </c>
      <c r="O63" s="166" t="s">
        <v>484</v>
      </c>
      <c r="P63" s="166">
        <v>2</v>
      </c>
      <c r="Q63" s="167"/>
      <c r="R63" s="168">
        <v>6</v>
      </c>
      <c r="S63" s="115"/>
      <c r="T63" s="162" t="s">
        <v>330</v>
      </c>
      <c r="U63" s="169">
        <v>102</v>
      </c>
      <c r="V63" s="170"/>
      <c r="W63" s="169">
        <v>3</v>
      </c>
      <c r="X63" s="193"/>
      <c r="Y63" s="188"/>
      <c r="Z63" s="193">
        <v>5.1</v>
      </c>
      <c r="AA63" s="168"/>
      <c r="AB63" s="168">
        <f t="shared" si="18"/>
        <v>-0.9000000000000004</v>
      </c>
      <c r="AC63" s="168">
        <f t="shared" si="16"/>
        <v>-0.9000000000000004</v>
      </c>
      <c r="AE63" s="128"/>
      <c r="AI63" s="174"/>
      <c r="AJ63" s="174"/>
      <c r="AM63" s="175">
        <f t="shared" si="17"/>
        <v>0</v>
      </c>
      <c r="AN63" s="176" t="s">
        <v>331</v>
      </c>
      <c r="AO63" s="177">
        <v>63</v>
      </c>
      <c r="AP63" s="189"/>
      <c r="AQ63" s="179">
        <v>2</v>
      </c>
      <c r="AR63" s="180"/>
      <c r="AS63" s="124">
        <v>2.1</v>
      </c>
      <c r="AT63" s="181">
        <f t="shared" si="14"/>
        <v>0</v>
      </c>
      <c r="AU63" s="182">
        <f t="shared" si="15"/>
        <v>-2.9999999999999996</v>
      </c>
      <c r="AV63" s="167">
        <f t="shared" si="6"/>
        <v>-2.9999999999999996</v>
      </c>
      <c r="AX63" s="110"/>
      <c r="BO63" s="159"/>
      <c r="BP63" s="160">
        <f t="shared" si="7"/>
        <v>0</v>
      </c>
      <c r="BQ63" s="330">
        <f aca="true" t="shared" si="19" ref="BQ63:BQ82">ROUND(AO63*AQ63/60,1)</f>
        <v>2.1</v>
      </c>
      <c r="BR63" s="198"/>
      <c r="BS63" s="221">
        <f aca="true" t="shared" si="20" ref="BS63:BS81">AS63-BQ63</f>
        <v>0</v>
      </c>
      <c r="BT63" s="134"/>
      <c r="BU63" s="331">
        <f aca="true" t="shared" si="21" ref="BU63:BU81">AS63</f>
        <v>2.1</v>
      </c>
      <c r="CY63" s="136"/>
    </row>
    <row r="64" spans="1:103" s="80" customFormat="1" ht="34.5" customHeight="1">
      <c r="A64" s="110"/>
      <c r="B64" s="111" t="s">
        <v>333</v>
      </c>
      <c r="C64" s="215" t="s">
        <v>333</v>
      </c>
      <c r="D64" s="162" t="s">
        <v>486</v>
      </c>
      <c r="E64" s="163" t="s">
        <v>482</v>
      </c>
      <c r="F64" s="213" t="s">
        <v>483</v>
      </c>
      <c r="G64" s="162" t="s">
        <v>335</v>
      </c>
      <c r="H64" s="162">
        <v>180</v>
      </c>
      <c r="I64" s="162"/>
      <c r="J64" s="162">
        <v>10</v>
      </c>
      <c r="K64" s="165"/>
      <c r="L64" s="165">
        <v>30</v>
      </c>
      <c r="M64" s="162" t="s">
        <v>335</v>
      </c>
      <c r="N64" s="166">
        <v>180</v>
      </c>
      <c r="O64" s="166"/>
      <c r="P64" s="166">
        <v>10</v>
      </c>
      <c r="Q64" s="167"/>
      <c r="R64" s="168">
        <v>30</v>
      </c>
      <c r="S64" s="115"/>
      <c r="T64" s="162" t="s">
        <v>330</v>
      </c>
      <c r="U64" s="169">
        <v>150</v>
      </c>
      <c r="V64" s="170"/>
      <c r="W64" s="169">
        <v>4</v>
      </c>
      <c r="X64" s="193"/>
      <c r="Y64" s="188"/>
      <c r="Z64" s="193">
        <v>10</v>
      </c>
      <c r="AA64" s="168"/>
      <c r="AB64" s="168">
        <f t="shared" si="18"/>
        <v>-20</v>
      </c>
      <c r="AC64" s="168">
        <f t="shared" si="16"/>
        <v>-20</v>
      </c>
      <c r="AE64" s="128"/>
      <c r="AI64" s="174"/>
      <c r="AJ64" s="174"/>
      <c r="AM64" s="175">
        <f t="shared" si="17"/>
        <v>0</v>
      </c>
      <c r="AN64" s="176" t="s">
        <v>331</v>
      </c>
      <c r="AO64" s="177">
        <v>148</v>
      </c>
      <c r="AP64" s="189"/>
      <c r="AQ64" s="179">
        <v>2</v>
      </c>
      <c r="AR64" s="180"/>
      <c r="AS64" s="124">
        <v>4.9</v>
      </c>
      <c r="AT64" s="181">
        <f t="shared" si="14"/>
        <v>0</v>
      </c>
      <c r="AU64" s="182">
        <f t="shared" si="15"/>
        <v>-5.1</v>
      </c>
      <c r="AV64" s="167">
        <f t="shared" si="6"/>
        <v>-5.1</v>
      </c>
      <c r="AX64" s="110"/>
      <c r="BO64" s="159"/>
      <c r="BP64" s="160">
        <f t="shared" si="7"/>
        <v>0</v>
      </c>
      <c r="BQ64" s="330">
        <f t="shared" si="19"/>
        <v>4.9</v>
      </c>
      <c r="BR64" s="198"/>
      <c r="BS64" s="221">
        <f t="shared" si="20"/>
        <v>0</v>
      </c>
      <c r="BT64" s="134"/>
      <c r="BU64" s="331">
        <f t="shared" si="21"/>
        <v>4.9</v>
      </c>
      <c r="CY64" s="136"/>
    </row>
    <row r="65" spans="1:103" s="80" customFormat="1" ht="39" customHeight="1">
      <c r="A65" s="110"/>
      <c r="B65" s="111" t="s">
        <v>333</v>
      </c>
      <c r="C65" s="215" t="s">
        <v>333</v>
      </c>
      <c r="D65" s="162" t="s">
        <v>487</v>
      </c>
      <c r="E65" s="163" t="s">
        <v>482</v>
      </c>
      <c r="F65" s="213" t="s">
        <v>483</v>
      </c>
      <c r="G65" s="162" t="s">
        <v>335</v>
      </c>
      <c r="H65" s="162">
        <v>180</v>
      </c>
      <c r="I65" s="162" t="s">
        <v>488</v>
      </c>
      <c r="J65" s="162">
        <v>6</v>
      </c>
      <c r="K65" s="165"/>
      <c r="L65" s="165">
        <v>18</v>
      </c>
      <c r="M65" s="162" t="s">
        <v>335</v>
      </c>
      <c r="N65" s="166">
        <v>180</v>
      </c>
      <c r="O65" s="166" t="s">
        <v>488</v>
      </c>
      <c r="P65" s="166">
        <v>6</v>
      </c>
      <c r="Q65" s="167"/>
      <c r="R65" s="168">
        <v>18</v>
      </c>
      <c r="S65" s="115"/>
      <c r="T65" s="162" t="s">
        <v>330</v>
      </c>
      <c r="U65" s="169">
        <v>91</v>
      </c>
      <c r="V65" s="170"/>
      <c r="W65" s="169">
        <v>5</v>
      </c>
      <c r="X65" s="193"/>
      <c r="Y65" s="188"/>
      <c r="Z65" s="193">
        <v>7.6</v>
      </c>
      <c r="AA65" s="168"/>
      <c r="AB65" s="168">
        <f t="shared" si="18"/>
        <v>-10.4</v>
      </c>
      <c r="AC65" s="168">
        <f t="shared" si="16"/>
        <v>-10.4</v>
      </c>
      <c r="AE65" s="128"/>
      <c r="AI65" s="174"/>
      <c r="AJ65" s="174"/>
      <c r="AM65" s="175">
        <f t="shared" si="17"/>
        <v>0</v>
      </c>
      <c r="AN65" s="176" t="s">
        <v>331</v>
      </c>
      <c r="AO65" s="177">
        <v>47</v>
      </c>
      <c r="AP65" s="189"/>
      <c r="AQ65" s="179">
        <v>2</v>
      </c>
      <c r="AR65" s="180"/>
      <c r="AS65" s="124">
        <v>1.6</v>
      </c>
      <c r="AT65" s="181">
        <f t="shared" si="14"/>
        <v>0</v>
      </c>
      <c r="AU65" s="182">
        <f t="shared" si="15"/>
        <v>-6</v>
      </c>
      <c r="AV65" s="167">
        <f t="shared" si="6"/>
        <v>-6</v>
      </c>
      <c r="AX65" s="110"/>
      <c r="BO65" s="159"/>
      <c r="BP65" s="160">
        <f t="shared" si="7"/>
        <v>0</v>
      </c>
      <c r="BQ65" s="330">
        <f t="shared" si="19"/>
        <v>1.6</v>
      </c>
      <c r="BR65" s="198"/>
      <c r="BS65" s="221">
        <f t="shared" si="20"/>
        <v>0</v>
      </c>
      <c r="BT65" s="134"/>
      <c r="BU65" s="331">
        <f t="shared" si="21"/>
        <v>1.6</v>
      </c>
      <c r="CY65" s="136"/>
    </row>
    <row r="66" spans="1:103" s="80" customFormat="1" ht="66.75" customHeight="1">
      <c r="A66" s="110"/>
      <c r="B66" s="111" t="s">
        <v>333</v>
      </c>
      <c r="C66" s="215" t="s">
        <v>333</v>
      </c>
      <c r="D66" s="162" t="s">
        <v>489</v>
      </c>
      <c r="E66" s="271" t="s">
        <v>490</v>
      </c>
      <c r="F66" s="213" t="s">
        <v>491</v>
      </c>
      <c r="G66" s="162" t="s">
        <v>335</v>
      </c>
      <c r="H66" s="162">
        <v>5</v>
      </c>
      <c r="I66" s="162" t="s">
        <v>492</v>
      </c>
      <c r="J66" s="162">
        <v>730</v>
      </c>
      <c r="K66" s="165"/>
      <c r="L66" s="165">
        <v>60.9</v>
      </c>
      <c r="M66" s="162" t="s">
        <v>335</v>
      </c>
      <c r="N66" s="166">
        <v>5</v>
      </c>
      <c r="O66" s="166" t="s">
        <v>492</v>
      </c>
      <c r="P66" s="166">
        <f>275*2+143</f>
        <v>693</v>
      </c>
      <c r="Q66" s="167"/>
      <c r="R66" s="168">
        <v>57.8</v>
      </c>
      <c r="S66" s="332">
        <f>L66-R66</f>
        <v>3.1000000000000014</v>
      </c>
      <c r="T66" s="162" t="s">
        <v>330</v>
      </c>
      <c r="U66" s="333">
        <v>5</v>
      </c>
      <c r="V66" s="170" t="s">
        <v>492</v>
      </c>
      <c r="W66" s="333">
        <v>503</v>
      </c>
      <c r="X66" s="334"/>
      <c r="Y66" s="94"/>
      <c r="Z66" s="334">
        <v>41.9</v>
      </c>
      <c r="AA66" s="168"/>
      <c r="AB66" s="168">
        <f t="shared" si="18"/>
        <v>-15.899999999999999</v>
      </c>
      <c r="AC66" s="168">
        <f t="shared" si="16"/>
        <v>-15.899999999999999</v>
      </c>
      <c r="AI66" s="174"/>
      <c r="AJ66" s="174"/>
      <c r="AM66" s="175">
        <f t="shared" si="17"/>
        <v>0</v>
      </c>
      <c r="AN66" s="176" t="s">
        <v>331</v>
      </c>
      <c r="AO66" s="177">
        <v>5</v>
      </c>
      <c r="AP66" s="178" t="s">
        <v>493</v>
      </c>
      <c r="AQ66" s="179">
        <v>668</v>
      </c>
      <c r="AR66" s="180"/>
      <c r="AS66" s="124">
        <v>57.3</v>
      </c>
      <c r="AT66" s="181">
        <f t="shared" si="14"/>
        <v>0</v>
      </c>
      <c r="AU66" s="182">
        <f t="shared" si="15"/>
        <v>15.399999999999999</v>
      </c>
      <c r="AV66" s="167">
        <f t="shared" si="6"/>
        <v>15.399999999999999</v>
      </c>
      <c r="AX66" s="110"/>
      <c r="BO66" s="159"/>
      <c r="BP66" s="160">
        <f t="shared" si="7"/>
        <v>0</v>
      </c>
      <c r="BQ66" s="330">
        <f t="shared" si="19"/>
        <v>55.7</v>
      </c>
      <c r="BR66" s="198"/>
      <c r="BS66" s="221"/>
      <c r="BT66" s="134"/>
      <c r="BU66" s="331">
        <f t="shared" si="21"/>
        <v>57.3</v>
      </c>
      <c r="CY66" s="136"/>
    </row>
    <row r="67" spans="1:103" s="80" customFormat="1" ht="44.25" customHeight="1">
      <c r="A67" s="110"/>
      <c r="B67" s="111" t="s">
        <v>333</v>
      </c>
      <c r="C67" s="215"/>
      <c r="D67" s="162" t="s">
        <v>494</v>
      </c>
      <c r="E67" s="163" t="s">
        <v>495</v>
      </c>
      <c r="F67" s="285" t="s">
        <v>496</v>
      </c>
      <c r="G67" s="162"/>
      <c r="H67" s="162"/>
      <c r="I67" s="162"/>
      <c r="J67" s="162"/>
      <c r="K67" s="165"/>
      <c r="L67" s="165"/>
      <c r="M67" s="162"/>
      <c r="N67" s="166"/>
      <c r="O67" s="166"/>
      <c r="P67" s="166"/>
      <c r="Q67" s="167"/>
      <c r="R67" s="168"/>
      <c r="S67" s="332"/>
      <c r="T67" s="162" t="s">
        <v>330</v>
      </c>
      <c r="U67" s="333">
        <v>20</v>
      </c>
      <c r="V67" s="335" t="s">
        <v>497</v>
      </c>
      <c r="W67" s="333">
        <v>26</v>
      </c>
      <c r="X67" s="334"/>
      <c r="Y67" s="94"/>
      <c r="Z67" s="334">
        <v>8.6</v>
      </c>
      <c r="AA67" s="168"/>
      <c r="AB67" s="168">
        <f t="shared" si="18"/>
        <v>8.6</v>
      </c>
      <c r="AC67" s="168">
        <f t="shared" si="16"/>
        <v>8.6</v>
      </c>
      <c r="AI67" s="174"/>
      <c r="AJ67" s="174"/>
      <c r="AM67" s="175">
        <f t="shared" si="17"/>
        <v>0</v>
      </c>
      <c r="AN67" s="176" t="s">
        <v>331</v>
      </c>
      <c r="AO67" s="177">
        <v>14</v>
      </c>
      <c r="AP67" s="336" t="s">
        <v>497</v>
      </c>
      <c r="AQ67" s="179">
        <v>29</v>
      </c>
      <c r="AR67" s="180"/>
      <c r="AS67" s="124">
        <v>6.8</v>
      </c>
      <c r="AT67" s="181">
        <f t="shared" si="14"/>
        <v>0</v>
      </c>
      <c r="AU67" s="182">
        <f t="shared" si="15"/>
        <v>-1.7999999999999998</v>
      </c>
      <c r="AV67" s="167">
        <f t="shared" si="6"/>
        <v>-1.7999999999999998</v>
      </c>
      <c r="AX67" s="110"/>
      <c r="BO67" s="159"/>
      <c r="BP67" s="160">
        <f t="shared" si="7"/>
        <v>0</v>
      </c>
      <c r="BQ67" s="330">
        <f t="shared" si="19"/>
        <v>6.8</v>
      </c>
      <c r="BR67" s="198"/>
      <c r="BS67" s="221">
        <f t="shared" si="20"/>
        <v>0</v>
      </c>
      <c r="BT67" s="134"/>
      <c r="BU67" s="331">
        <f t="shared" si="21"/>
        <v>6.8</v>
      </c>
      <c r="CY67" s="136"/>
    </row>
    <row r="68" spans="1:103" ht="50.25" customHeight="1">
      <c r="A68" s="337"/>
      <c r="B68" s="337" t="s">
        <v>333</v>
      </c>
      <c r="C68" s="338" t="s">
        <v>333</v>
      </c>
      <c r="D68" s="162" t="s">
        <v>498</v>
      </c>
      <c r="E68" s="227" t="s">
        <v>499</v>
      </c>
      <c r="F68" s="271" t="s">
        <v>491</v>
      </c>
      <c r="G68" s="339"/>
      <c r="H68" s="340"/>
      <c r="I68" s="339"/>
      <c r="J68" s="341"/>
      <c r="K68" s="341"/>
      <c r="L68" s="342"/>
      <c r="M68" s="339" t="s">
        <v>330</v>
      </c>
      <c r="N68" s="269">
        <v>7</v>
      </c>
      <c r="O68" s="343" t="s">
        <v>500</v>
      </c>
      <c r="P68" s="341">
        <f>5*4*9+22</f>
        <v>202</v>
      </c>
      <c r="Q68" s="344"/>
      <c r="R68" s="334">
        <f aca="true" t="shared" si="22" ref="R68:R73">ROUND(N68*P68/60,1)</f>
        <v>23.6</v>
      </c>
      <c r="S68" s="56"/>
      <c r="T68" s="162" t="s">
        <v>330</v>
      </c>
      <c r="U68" s="345">
        <v>5</v>
      </c>
      <c r="V68" s="170" t="s">
        <v>501</v>
      </c>
      <c r="W68" s="345">
        <v>391</v>
      </c>
      <c r="X68" s="346"/>
      <c r="Y68" s="347"/>
      <c r="Z68" s="348">
        <v>32.6</v>
      </c>
      <c r="AA68" s="168"/>
      <c r="AB68" s="168">
        <f t="shared" si="18"/>
        <v>9</v>
      </c>
      <c r="AC68" s="168">
        <f t="shared" si="16"/>
        <v>9</v>
      </c>
      <c r="AM68" s="175">
        <f aca="true" t="shared" si="23" ref="AM68:AM90">X68-Y68</f>
        <v>0</v>
      </c>
      <c r="AN68" s="176" t="s">
        <v>331</v>
      </c>
      <c r="AO68" s="177">
        <v>5</v>
      </c>
      <c r="AP68" s="178" t="s">
        <v>502</v>
      </c>
      <c r="AQ68" s="179">
        <v>406</v>
      </c>
      <c r="AR68" s="349"/>
      <c r="AS68" s="124">
        <v>33.8</v>
      </c>
      <c r="AT68" s="181">
        <f t="shared" si="14"/>
        <v>0</v>
      </c>
      <c r="AU68" s="182">
        <f t="shared" si="15"/>
        <v>1.1999999999999957</v>
      </c>
      <c r="AV68" s="167">
        <f t="shared" si="6"/>
        <v>1.1999999999999957</v>
      </c>
      <c r="AX68" s="49"/>
      <c r="BO68" s="159"/>
      <c r="BP68" s="160">
        <f t="shared" si="7"/>
        <v>0</v>
      </c>
      <c r="BQ68" s="330">
        <f t="shared" si="19"/>
        <v>33.8</v>
      </c>
      <c r="BR68" s="198"/>
      <c r="BS68" s="221">
        <f t="shared" si="20"/>
        <v>0</v>
      </c>
      <c r="BU68" s="331">
        <f t="shared" si="21"/>
        <v>33.8</v>
      </c>
      <c r="CY68" s="351"/>
    </row>
    <row r="69" spans="1:103" ht="36.75" customHeight="1">
      <c r="A69" s="337"/>
      <c r="B69" s="337" t="s">
        <v>333</v>
      </c>
      <c r="C69" s="338" t="s">
        <v>333</v>
      </c>
      <c r="D69" s="162" t="s">
        <v>503</v>
      </c>
      <c r="E69" s="352" t="s">
        <v>504</v>
      </c>
      <c r="F69" s="274" t="s">
        <v>505</v>
      </c>
      <c r="G69" s="339"/>
      <c r="H69" s="340"/>
      <c r="I69" s="339"/>
      <c r="J69" s="353"/>
      <c r="K69" s="353"/>
      <c r="L69" s="342"/>
      <c r="M69" s="339" t="s">
        <v>330</v>
      </c>
      <c r="N69" s="269">
        <v>25</v>
      </c>
      <c r="O69" s="343" t="s">
        <v>397</v>
      </c>
      <c r="P69" s="269">
        <v>46</v>
      </c>
      <c r="Q69" s="187"/>
      <c r="R69" s="334">
        <f t="shared" si="22"/>
        <v>19.2</v>
      </c>
      <c r="S69" s="56"/>
      <c r="T69" s="162" t="s">
        <v>330</v>
      </c>
      <c r="U69" s="345">
        <v>25</v>
      </c>
      <c r="V69" s="170" t="s">
        <v>397</v>
      </c>
      <c r="W69" s="345">
        <v>49</v>
      </c>
      <c r="X69" s="346"/>
      <c r="Y69" s="347"/>
      <c r="Z69" s="346">
        <v>20.4</v>
      </c>
      <c r="AA69" s="168"/>
      <c r="AB69" s="168">
        <f t="shared" si="18"/>
        <v>1.1999999999999993</v>
      </c>
      <c r="AC69" s="168">
        <f t="shared" si="16"/>
        <v>1.1999999999999993</v>
      </c>
      <c r="AM69" s="175">
        <f t="shared" si="23"/>
        <v>0</v>
      </c>
      <c r="AN69" s="176" t="s">
        <v>331</v>
      </c>
      <c r="AO69" s="177">
        <v>25</v>
      </c>
      <c r="AP69" s="178" t="s">
        <v>397</v>
      </c>
      <c r="AQ69" s="179">
        <v>50</v>
      </c>
      <c r="AR69" s="349"/>
      <c r="AS69" s="124">
        <v>20.8</v>
      </c>
      <c r="AT69" s="181">
        <f t="shared" si="14"/>
        <v>0</v>
      </c>
      <c r="AU69" s="182">
        <f t="shared" si="15"/>
        <v>0.40000000000000213</v>
      </c>
      <c r="AV69" s="167">
        <f t="shared" si="6"/>
        <v>0.40000000000000213</v>
      </c>
      <c r="AX69" s="49"/>
      <c r="BO69" s="159"/>
      <c r="BP69" s="160">
        <f t="shared" si="7"/>
        <v>0</v>
      </c>
      <c r="BQ69" s="330">
        <f t="shared" si="19"/>
        <v>20.8</v>
      </c>
      <c r="BR69" s="198"/>
      <c r="BS69" s="221">
        <f t="shared" si="20"/>
        <v>0</v>
      </c>
      <c r="BU69" s="331">
        <f t="shared" si="21"/>
        <v>20.8</v>
      </c>
      <c r="CY69" s="351"/>
    </row>
    <row r="70" spans="1:103" ht="53.25" customHeight="1">
      <c r="A70" s="337"/>
      <c r="B70" s="337" t="s">
        <v>333</v>
      </c>
      <c r="C70" s="338" t="s">
        <v>333</v>
      </c>
      <c r="D70" s="162" t="s">
        <v>506</v>
      </c>
      <c r="E70" s="354" t="s">
        <v>507</v>
      </c>
      <c r="F70" s="274" t="s">
        <v>508</v>
      </c>
      <c r="G70" s="339"/>
      <c r="H70" s="340"/>
      <c r="I70" s="339"/>
      <c r="J70" s="353"/>
      <c r="K70" s="353"/>
      <c r="L70" s="342"/>
      <c r="M70" s="339" t="s">
        <v>330</v>
      </c>
      <c r="N70" s="269">
        <v>25</v>
      </c>
      <c r="O70" s="343" t="s">
        <v>397</v>
      </c>
      <c r="P70" s="269">
        <v>46</v>
      </c>
      <c r="Q70" s="187"/>
      <c r="R70" s="334">
        <f t="shared" si="22"/>
        <v>19.2</v>
      </c>
      <c r="S70" s="56"/>
      <c r="T70" s="162" t="s">
        <v>330</v>
      </c>
      <c r="U70" s="345">
        <v>25</v>
      </c>
      <c r="V70" s="170" t="s">
        <v>397</v>
      </c>
      <c r="W70" s="345">
        <v>18</v>
      </c>
      <c r="X70" s="346"/>
      <c r="Y70" s="347"/>
      <c r="Z70" s="346">
        <v>7.6</v>
      </c>
      <c r="AA70" s="168"/>
      <c r="AB70" s="168">
        <f t="shared" si="18"/>
        <v>-11.6</v>
      </c>
      <c r="AC70" s="168">
        <f t="shared" si="16"/>
        <v>-11.6</v>
      </c>
      <c r="AM70" s="175">
        <f t="shared" si="23"/>
        <v>0</v>
      </c>
      <c r="AN70" s="176" t="s">
        <v>331</v>
      </c>
      <c r="AO70" s="177">
        <v>25</v>
      </c>
      <c r="AP70" s="178" t="s">
        <v>509</v>
      </c>
      <c r="AQ70" s="179">
        <v>18</v>
      </c>
      <c r="AR70" s="349"/>
      <c r="AS70" s="124">
        <v>7.5</v>
      </c>
      <c r="AT70" s="181">
        <f t="shared" si="14"/>
        <v>0</v>
      </c>
      <c r="AU70" s="182">
        <f t="shared" si="15"/>
        <v>-0.09999999999999964</v>
      </c>
      <c r="AV70" s="167">
        <f t="shared" si="6"/>
        <v>-0.09999999999999964</v>
      </c>
      <c r="AX70" s="49"/>
      <c r="BO70" s="159"/>
      <c r="BP70" s="160">
        <f t="shared" si="7"/>
        <v>0</v>
      </c>
      <c r="BQ70" s="330">
        <f t="shared" si="19"/>
        <v>7.5</v>
      </c>
      <c r="BR70" s="198"/>
      <c r="BS70" s="221">
        <f t="shared" si="20"/>
        <v>0</v>
      </c>
      <c r="BU70" s="331">
        <f t="shared" si="21"/>
        <v>7.5</v>
      </c>
      <c r="CY70" s="351"/>
    </row>
    <row r="71" spans="1:103" ht="84.75" customHeight="1">
      <c r="A71" s="337" t="s">
        <v>333</v>
      </c>
      <c r="B71" s="337" t="s">
        <v>333</v>
      </c>
      <c r="C71" s="338" t="s">
        <v>333</v>
      </c>
      <c r="D71" s="162" t="s">
        <v>510</v>
      </c>
      <c r="E71" s="354" t="s">
        <v>511</v>
      </c>
      <c r="F71" s="274" t="s">
        <v>512</v>
      </c>
      <c r="G71" s="339"/>
      <c r="H71" s="340"/>
      <c r="I71" s="339"/>
      <c r="J71" s="340"/>
      <c r="K71" s="340"/>
      <c r="L71" s="342"/>
      <c r="M71" s="339" t="s">
        <v>330</v>
      </c>
      <c r="N71" s="269">
        <v>15</v>
      </c>
      <c r="O71" s="343" t="s">
        <v>513</v>
      </c>
      <c r="P71" s="269">
        <v>12</v>
      </c>
      <c r="Q71" s="187"/>
      <c r="R71" s="334">
        <f t="shared" si="22"/>
        <v>3</v>
      </c>
      <c r="S71" s="56"/>
      <c r="T71" s="162" t="s">
        <v>330</v>
      </c>
      <c r="U71" s="345">
        <v>15</v>
      </c>
      <c r="V71" s="170" t="s">
        <v>513</v>
      </c>
      <c r="W71" s="345">
        <v>24</v>
      </c>
      <c r="X71" s="346"/>
      <c r="Y71" s="347"/>
      <c r="Z71" s="346">
        <v>5.9</v>
      </c>
      <c r="AA71" s="168"/>
      <c r="AB71" s="168">
        <f t="shared" si="18"/>
        <v>2.9000000000000004</v>
      </c>
      <c r="AC71" s="168">
        <f t="shared" si="16"/>
        <v>2.9000000000000004</v>
      </c>
      <c r="AM71" s="175">
        <f t="shared" si="23"/>
        <v>0</v>
      </c>
      <c r="AN71" s="176" t="s">
        <v>331</v>
      </c>
      <c r="AO71" s="177">
        <v>15</v>
      </c>
      <c r="AP71" s="178" t="s">
        <v>513</v>
      </c>
      <c r="AQ71" s="179">
        <v>25</v>
      </c>
      <c r="AR71" s="349"/>
      <c r="AS71" s="124">
        <v>6.3</v>
      </c>
      <c r="AT71" s="181">
        <f t="shared" si="14"/>
        <v>0</v>
      </c>
      <c r="AU71" s="182">
        <f t="shared" si="15"/>
        <v>0.39999999999999947</v>
      </c>
      <c r="AV71" s="167">
        <f t="shared" si="6"/>
        <v>0.39999999999999947</v>
      </c>
      <c r="AX71" s="49"/>
      <c r="BO71" s="159"/>
      <c r="BP71" s="160">
        <f t="shared" si="7"/>
        <v>0</v>
      </c>
      <c r="BQ71" s="330">
        <f t="shared" si="19"/>
        <v>6.3</v>
      </c>
      <c r="BR71" s="198"/>
      <c r="BS71" s="221">
        <f t="shared" si="20"/>
        <v>0</v>
      </c>
      <c r="BU71" s="331">
        <f t="shared" si="21"/>
        <v>6.3</v>
      </c>
      <c r="CY71" s="351"/>
    </row>
    <row r="72" spans="1:103" ht="51.75" customHeight="1">
      <c r="A72" s="337" t="s">
        <v>333</v>
      </c>
      <c r="B72" s="337" t="s">
        <v>333</v>
      </c>
      <c r="C72" s="338" t="s">
        <v>333</v>
      </c>
      <c r="D72" s="162" t="s">
        <v>514</v>
      </c>
      <c r="E72" s="163" t="s">
        <v>515</v>
      </c>
      <c r="F72" s="274" t="s">
        <v>516</v>
      </c>
      <c r="G72" s="339"/>
      <c r="H72" s="340"/>
      <c r="I72" s="339"/>
      <c r="J72" s="353"/>
      <c r="K72" s="353"/>
      <c r="L72" s="342"/>
      <c r="M72" s="339" t="s">
        <v>330</v>
      </c>
      <c r="N72" s="269">
        <v>15</v>
      </c>
      <c r="O72" s="343" t="s">
        <v>397</v>
      </c>
      <c r="P72" s="269">
        <v>48</v>
      </c>
      <c r="Q72" s="187"/>
      <c r="R72" s="334">
        <f t="shared" si="22"/>
        <v>12</v>
      </c>
      <c r="S72" s="56"/>
      <c r="T72" s="162" t="s">
        <v>330</v>
      </c>
      <c r="U72" s="345">
        <v>15</v>
      </c>
      <c r="V72" s="170" t="s">
        <v>397</v>
      </c>
      <c r="W72" s="345">
        <v>43</v>
      </c>
      <c r="X72" s="346"/>
      <c r="Y72" s="347"/>
      <c r="Z72" s="346">
        <v>10.8</v>
      </c>
      <c r="AA72" s="168"/>
      <c r="AB72" s="168">
        <f t="shared" si="18"/>
        <v>-1.1999999999999993</v>
      </c>
      <c r="AC72" s="168">
        <f t="shared" si="16"/>
        <v>-1.1999999999999993</v>
      </c>
      <c r="AM72" s="175">
        <f t="shared" si="23"/>
        <v>0</v>
      </c>
      <c r="AN72" s="176" t="s">
        <v>331</v>
      </c>
      <c r="AO72" s="177">
        <v>14</v>
      </c>
      <c r="AP72" s="189" t="s">
        <v>377</v>
      </c>
      <c r="AQ72" s="179">
        <v>44</v>
      </c>
      <c r="AR72" s="349"/>
      <c r="AS72" s="124">
        <v>10.3</v>
      </c>
      <c r="AT72" s="181">
        <f t="shared" si="14"/>
        <v>0</v>
      </c>
      <c r="AU72" s="182">
        <f t="shared" si="15"/>
        <v>-0.5</v>
      </c>
      <c r="AV72" s="167">
        <f t="shared" si="6"/>
        <v>-0.5</v>
      </c>
      <c r="AX72" s="49"/>
      <c r="BO72" s="159"/>
      <c r="BP72" s="160">
        <f t="shared" si="7"/>
        <v>0</v>
      </c>
      <c r="BQ72" s="330">
        <f t="shared" si="19"/>
        <v>10.3</v>
      </c>
      <c r="BR72" s="198"/>
      <c r="BS72" s="221">
        <f t="shared" si="20"/>
        <v>0</v>
      </c>
      <c r="BU72" s="331">
        <f t="shared" si="21"/>
        <v>10.3</v>
      </c>
      <c r="CY72" s="351"/>
    </row>
    <row r="73" spans="1:103" ht="49.5" customHeight="1">
      <c r="A73" s="337" t="s">
        <v>333</v>
      </c>
      <c r="B73" s="337" t="s">
        <v>333</v>
      </c>
      <c r="C73" s="338" t="s">
        <v>333</v>
      </c>
      <c r="D73" s="162" t="s">
        <v>517</v>
      </c>
      <c r="E73" s="162" t="s">
        <v>518</v>
      </c>
      <c r="F73" s="274" t="s">
        <v>512</v>
      </c>
      <c r="G73" s="339"/>
      <c r="H73" s="340"/>
      <c r="I73" s="339"/>
      <c r="J73" s="353"/>
      <c r="K73" s="353"/>
      <c r="L73" s="342"/>
      <c r="M73" s="339" t="s">
        <v>330</v>
      </c>
      <c r="N73" s="269">
        <v>20</v>
      </c>
      <c r="O73" s="343" t="s">
        <v>513</v>
      </c>
      <c r="P73" s="269">
        <f>9*2+5</f>
        <v>23</v>
      </c>
      <c r="Q73" s="187"/>
      <c r="R73" s="334">
        <f t="shared" si="22"/>
        <v>7.7</v>
      </c>
      <c r="S73" s="56"/>
      <c r="T73" s="162" t="s">
        <v>330</v>
      </c>
      <c r="U73" s="345">
        <v>20</v>
      </c>
      <c r="V73" s="170" t="s">
        <v>513</v>
      </c>
      <c r="W73" s="345">
        <v>26</v>
      </c>
      <c r="X73" s="346"/>
      <c r="Y73" s="347"/>
      <c r="Z73" s="346">
        <v>8.7</v>
      </c>
      <c r="AA73" s="168"/>
      <c r="AB73" s="168">
        <f t="shared" si="18"/>
        <v>0.9999999999999991</v>
      </c>
      <c r="AC73" s="168">
        <f t="shared" si="16"/>
        <v>0.9999999999999991</v>
      </c>
      <c r="AM73" s="175">
        <f t="shared" si="23"/>
        <v>0</v>
      </c>
      <c r="AN73" s="176" t="s">
        <v>331</v>
      </c>
      <c r="AO73" s="177">
        <v>17</v>
      </c>
      <c r="AP73" s="178" t="s">
        <v>513</v>
      </c>
      <c r="AQ73" s="179">
        <v>25</v>
      </c>
      <c r="AR73" s="349"/>
      <c r="AS73" s="124">
        <v>7.1</v>
      </c>
      <c r="AT73" s="181">
        <f t="shared" si="14"/>
        <v>0</v>
      </c>
      <c r="AU73" s="182">
        <f t="shared" si="15"/>
        <v>-1.5999999999999996</v>
      </c>
      <c r="AV73" s="167">
        <f t="shared" si="6"/>
        <v>-1.5999999999999996</v>
      </c>
      <c r="AX73" s="49"/>
      <c r="BO73" s="159"/>
      <c r="BP73" s="160">
        <f t="shared" si="7"/>
        <v>0</v>
      </c>
      <c r="BQ73" s="330">
        <f t="shared" si="19"/>
        <v>7.1</v>
      </c>
      <c r="BR73" s="198"/>
      <c r="BS73" s="221">
        <f t="shared" si="20"/>
        <v>0</v>
      </c>
      <c r="BU73" s="331">
        <f t="shared" si="21"/>
        <v>7.1</v>
      </c>
      <c r="CY73" s="351"/>
    </row>
    <row r="74" spans="1:103" s="358" customFormat="1" ht="59.25" customHeight="1">
      <c r="A74" s="355" t="s">
        <v>333</v>
      </c>
      <c r="B74" s="355" t="s">
        <v>333</v>
      </c>
      <c r="C74" s="356" t="s">
        <v>333</v>
      </c>
      <c r="D74" s="166" t="s">
        <v>519</v>
      </c>
      <c r="E74" s="162" t="s">
        <v>520</v>
      </c>
      <c r="F74" s="274" t="s">
        <v>521</v>
      </c>
      <c r="G74" s="343"/>
      <c r="H74" s="269"/>
      <c r="I74" s="343"/>
      <c r="J74" s="357"/>
      <c r="K74" s="357"/>
      <c r="L74" s="334"/>
      <c r="M74" s="343" t="s">
        <v>330</v>
      </c>
      <c r="N74" s="269">
        <v>20</v>
      </c>
      <c r="O74" s="343" t="s">
        <v>397</v>
      </c>
      <c r="P74" s="269">
        <f>1+35</f>
        <v>36</v>
      </c>
      <c r="Q74" s="187"/>
      <c r="R74" s="334">
        <v>12</v>
      </c>
      <c r="S74" s="56"/>
      <c r="T74" s="162" t="s">
        <v>330</v>
      </c>
      <c r="U74" s="345">
        <v>18</v>
      </c>
      <c r="V74" s="170" t="s">
        <v>397</v>
      </c>
      <c r="W74" s="345">
        <v>1</v>
      </c>
      <c r="X74" s="346"/>
      <c r="Y74" s="347"/>
      <c r="Z74" s="346">
        <v>0.3</v>
      </c>
      <c r="AA74" s="168"/>
      <c r="AB74" s="168">
        <f t="shared" si="18"/>
        <v>-11.7</v>
      </c>
      <c r="AC74" s="168">
        <f t="shared" si="16"/>
        <v>-11.7</v>
      </c>
      <c r="AE74" s="11"/>
      <c r="AI74" s="359" t="s">
        <v>522</v>
      </c>
      <c r="AJ74" s="17"/>
      <c r="AM74" s="175">
        <f t="shared" si="23"/>
        <v>0</v>
      </c>
      <c r="AN74" s="176" t="s">
        <v>331</v>
      </c>
      <c r="AO74" s="177">
        <v>20</v>
      </c>
      <c r="AP74" s="189"/>
      <c r="AQ74" s="179">
        <v>1</v>
      </c>
      <c r="AR74" s="349"/>
      <c r="AS74" s="124">
        <v>0.3</v>
      </c>
      <c r="AT74" s="181">
        <f t="shared" si="14"/>
        <v>0</v>
      </c>
      <c r="AU74" s="182">
        <f t="shared" si="15"/>
        <v>0</v>
      </c>
      <c r="AV74" s="167">
        <f t="shared" si="6"/>
        <v>0</v>
      </c>
      <c r="AX74" s="360"/>
      <c r="BO74" s="159"/>
      <c r="BP74" s="160">
        <f t="shared" si="7"/>
        <v>0</v>
      </c>
      <c r="BQ74" s="330">
        <f t="shared" si="19"/>
        <v>0.3</v>
      </c>
      <c r="BR74" s="198"/>
      <c r="BS74" s="221">
        <f t="shared" si="20"/>
        <v>0</v>
      </c>
      <c r="BT74" s="350"/>
      <c r="BU74" s="331">
        <f t="shared" si="21"/>
        <v>0.3</v>
      </c>
      <c r="CY74" s="361"/>
    </row>
    <row r="75" spans="1:103" ht="66" customHeight="1">
      <c r="A75" s="337" t="s">
        <v>333</v>
      </c>
      <c r="B75" s="337" t="s">
        <v>333</v>
      </c>
      <c r="C75" s="338" t="s">
        <v>333</v>
      </c>
      <c r="D75" s="162" t="s">
        <v>523</v>
      </c>
      <c r="E75" s="162" t="s">
        <v>524</v>
      </c>
      <c r="F75" s="274" t="s">
        <v>525</v>
      </c>
      <c r="G75" s="339"/>
      <c r="H75" s="340"/>
      <c r="I75" s="339"/>
      <c r="J75" s="353"/>
      <c r="K75" s="353"/>
      <c r="L75" s="342"/>
      <c r="M75" s="339" t="s">
        <v>330</v>
      </c>
      <c r="N75" s="269">
        <v>15</v>
      </c>
      <c r="O75" s="343" t="s">
        <v>513</v>
      </c>
      <c r="P75" s="269">
        <f>9*2+4</f>
        <v>22</v>
      </c>
      <c r="Q75" s="187"/>
      <c r="R75" s="334">
        <v>5.5</v>
      </c>
      <c r="S75" s="362">
        <f>SUM(R68:R81)-S66</f>
        <v>99.1</v>
      </c>
      <c r="T75" s="162" t="s">
        <v>330</v>
      </c>
      <c r="U75" s="345">
        <v>15</v>
      </c>
      <c r="V75" s="170" t="s">
        <v>513</v>
      </c>
      <c r="W75" s="345">
        <v>34</v>
      </c>
      <c r="X75" s="363"/>
      <c r="Y75" s="364"/>
      <c r="Z75" s="363">
        <v>8.5</v>
      </c>
      <c r="AA75" s="168"/>
      <c r="AB75" s="168">
        <f t="shared" si="18"/>
        <v>3</v>
      </c>
      <c r="AC75" s="168">
        <f t="shared" si="16"/>
        <v>3</v>
      </c>
      <c r="AM75" s="175">
        <f t="shared" si="23"/>
        <v>0</v>
      </c>
      <c r="AN75" s="176" t="s">
        <v>331</v>
      </c>
      <c r="AO75" s="177">
        <v>15</v>
      </c>
      <c r="AP75" s="178" t="s">
        <v>513</v>
      </c>
      <c r="AQ75" s="179">
        <v>34</v>
      </c>
      <c r="AR75" s="349"/>
      <c r="AS75" s="124">
        <v>8.5</v>
      </c>
      <c r="AT75" s="181">
        <f t="shared" si="14"/>
        <v>0</v>
      </c>
      <c r="AU75" s="182">
        <f t="shared" si="15"/>
        <v>0</v>
      </c>
      <c r="AV75" s="167">
        <f t="shared" si="6"/>
        <v>0</v>
      </c>
      <c r="AX75" s="49"/>
      <c r="BO75" s="159"/>
      <c r="BP75" s="160">
        <f t="shared" si="7"/>
        <v>0</v>
      </c>
      <c r="BQ75" s="330">
        <f t="shared" si="19"/>
        <v>8.5</v>
      </c>
      <c r="BR75" s="198"/>
      <c r="BS75" s="221">
        <f t="shared" si="20"/>
        <v>0</v>
      </c>
      <c r="BU75" s="331">
        <f t="shared" si="21"/>
        <v>8.5</v>
      </c>
      <c r="CY75" s="351"/>
    </row>
    <row r="76" spans="1:103" s="358" customFormat="1" ht="46.5" customHeight="1">
      <c r="A76" s="355"/>
      <c r="B76" s="355" t="s">
        <v>333</v>
      </c>
      <c r="C76" s="356"/>
      <c r="D76" s="166" t="s">
        <v>526</v>
      </c>
      <c r="E76" s="365" t="s">
        <v>527</v>
      </c>
      <c r="F76" s="274" t="s">
        <v>528</v>
      </c>
      <c r="G76" s="343"/>
      <c r="H76" s="269"/>
      <c r="I76" s="343"/>
      <c r="J76" s="357"/>
      <c r="K76" s="357"/>
      <c r="L76" s="334"/>
      <c r="M76" s="343"/>
      <c r="N76" s="269"/>
      <c r="O76" s="343"/>
      <c r="P76" s="269"/>
      <c r="Q76" s="187"/>
      <c r="R76" s="334"/>
      <c r="S76" s="56"/>
      <c r="T76" s="162" t="s">
        <v>330</v>
      </c>
      <c r="U76" s="345">
        <v>24</v>
      </c>
      <c r="V76" s="366"/>
      <c r="W76" s="345">
        <v>1</v>
      </c>
      <c r="X76" s="346"/>
      <c r="Y76" s="347"/>
      <c r="Z76" s="346">
        <v>0.4</v>
      </c>
      <c r="AA76" s="168"/>
      <c r="AB76" s="168">
        <f t="shared" si="18"/>
        <v>0.4</v>
      </c>
      <c r="AC76" s="168">
        <f t="shared" si="16"/>
        <v>0.4</v>
      </c>
      <c r="AE76" s="11"/>
      <c r="AI76" s="359"/>
      <c r="AJ76" s="17"/>
      <c r="AM76" s="175">
        <f t="shared" si="23"/>
        <v>0</v>
      </c>
      <c r="AN76" s="176" t="s">
        <v>331</v>
      </c>
      <c r="AO76" s="177">
        <v>24</v>
      </c>
      <c r="AP76" s="189"/>
      <c r="AQ76" s="179">
        <v>1</v>
      </c>
      <c r="AR76" s="349"/>
      <c r="AS76" s="124">
        <v>0.4</v>
      </c>
      <c r="AT76" s="181">
        <f t="shared" si="14"/>
        <v>0</v>
      </c>
      <c r="AU76" s="182">
        <f t="shared" si="15"/>
        <v>0</v>
      </c>
      <c r="AV76" s="167">
        <f t="shared" si="6"/>
        <v>0</v>
      </c>
      <c r="AX76" s="360"/>
      <c r="BO76" s="159"/>
      <c r="BP76" s="160">
        <f t="shared" si="7"/>
        <v>0</v>
      </c>
      <c r="BQ76" s="330">
        <f t="shared" si="19"/>
        <v>0.4</v>
      </c>
      <c r="BR76" s="198"/>
      <c r="BS76" s="221">
        <f t="shared" si="20"/>
        <v>0</v>
      </c>
      <c r="BT76" s="350"/>
      <c r="BU76" s="331">
        <f t="shared" si="21"/>
        <v>0.4</v>
      </c>
      <c r="CY76" s="361"/>
    </row>
    <row r="77" spans="1:103" s="358" customFormat="1" ht="58.5" customHeight="1">
      <c r="A77" s="367"/>
      <c r="B77" s="355" t="s">
        <v>333</v>
      </c>
      <c r="C77" s="356"/>
      <c r="D77" s="166" t="s">
        <v>529</v>
      </c>
      <c r="E77" s="365" t="s">
        <v>530</v>
      </c>
      <c r="F77" s="285" t="s">
        <v>531</v>
      </c>
      <c r="G77" s="343"/>
      <c r="H77" s="269"/>
      <c r="I77" s="343"/>
      <c r="J77" s="357"/>
      <c r="K77" s="357"/>
      <c r="L77" s="334"/>
      <c r="M77" s="166"/>
      <c r="N77" s="269"/>
      <c r="O77" s="343"/>
      <c r="P77" s="269"/>
      <c r="Q77" s="187"/>
      <c r="R77" s="168"/>
      <c r="S77" s="360"/>
      <c r="T77" s="162" t="s">
        <v>330</v>
      </c>
      <c r="U77" s="333">
        <v>96</v>
      </c>
      <c r="V77" s="170" t="s">
        <v>532</v>
      </c>
      <c r="W77" s="333">
        <v>2</v>
      </c>
      <c r="X77" s="187"/>
      <c r="Y77" s="193"/>
      <c r="Z77" s="167">
        <v>3.2</v>
      </c>
      <c r="AA77" s="168"/>
      <c r="AB77" s="168">
        <f t="shared" si="18"/>
        <v>3.2</v>
      </c>
      <c r="AC77" s="168">
        <f t="shared" si="16"/>
        <v>3.2</v>
      </c>
      <c r="AE77" s="62"/>
      <c r="AF77" s="360"/>
      <c r="AG77" s="368"/>
      <c r="AH77" s="368"/>
      <c r="AI77" s="369" t="s">
        <v>533</v>
      </c>
      <c r="AJ77" s="370" t="s">
        <v>534</v>
      </c>
      <c r="AM77" s="175">
        <f t="shared" si="23"/>
        <v>0</v>
      </c>
      <c r="AN77" s="176" t="s">
        <v>331</v>
      </c>
      <c r="AO77" s="177">
        <v>96</v>
      </c>
      <c r="AP77" s="178" t="s">
        <v>532</v>
      </c>
      <c r="AQ77" s="179">
        <v>2</v>
      </c>
      <c r="AR77" s="349"/>
      <c r="AS77" s="124">
        <v>3.2</v>
      </c>
      <c r="AT77" s="181">
        <f t="shared" si="14"/>
        <v>0</v>
      </c>
      <c r="AU77" s="182">
        <f t="shared" si="15"/>
        <v>0</v>
      </c>
      <c r="AV77" s="167">
        <f t="shared" si="6"/>
        <v>0</v>
      </c>
      <c r="AX77" s="360"/>
      <c r="BO77" s="159"/>
      <c r="BP77" s="160">
        <f t="shared" si="7"/>
        <v>0</v>
      </c>
      <c r="BQ77" s="330">
        <f t="shared" si="19"/>
        <v>3.2</v>
      </c>
      <c r="BR77" s="198"/>
      <c r="BS77" s="221">
        <f t="shared" si="20"/>
        <v>0</v>
      </c>
      <c r="BT77" s="350"/>
      <c r="BU77" s="331">
        <f t="shared" si="21"/>
        <v>3.2</v>
      </c>
      <c r="CY77" s="361"/>
    </row>
    <row r="78" spans="1:103" s="358" customFormat="1" ht="86.25" customHeight="1">
      <c r="A78" s="367"/>
      <c r="B78" s="355" t="s">
        <v>333</v>
      </c>
      <c r="C78" s="356"/>
      <c r="D78" s="166" t="s">
        <v>535</v>
      </c>
      <c r="E78" s="271" t="s">
        <v>536</v>
      </c>
      <c r="F78" s="274" t="s">
        <v>537</v>
      </c>
      <c r="G78" s="343"/>
      <c r="H78" s="269"/>
      <c r="I78" s="343"/>
      <c r="J78" s="357"/>
      <c r="K78" s="357"/>
      <c r="L78" s="334"/>
      <c r="M78" s="166"/>
      <c r="N78" s="269"/>
      <c r="O78" s="343"/>
      <c r="P78" s="269"/>
      <c r="Q78" s="187"/>
      <c r="R78" s="168"/>
      <c r="S78" s="371"/>
      <c r="T78" s="162" t="s">
        <v>330</v>
      </c>
      <c r="U78" s="333">
        <v>20</v>
      </c>
      <c r="V78" s="170" t="s">
        <v>538</v>
      </c>
      <c r="W78" s="333">
        <v>45</v>
      </c>
      <c r="X78" s="187"/>
      <c r="Y78" s="193"/>
      <c r="Z78" s="167">
        <v>15</v>
      </c>
      <c r="AA78" s="168"/>
      <c r="AB78" s="168">
        <f t="shared" si="18"/>
        <v>15</v>
      </c>
      <c r="AC78" s="168">
        <f t="shared" si="16"/>
        <v>15</v>
      </c>
      <c r="AE78" s="62"/>
      <c r="AF78" s="360"/>
      <c r="AG78" s="368"/>
      <c r="AH78" s="368"/>
      <c r="AI78" s="369" t="s">
        <v>539</v>
      </c>
      <c r="AJ78" s="372">
        <v>39177</v>
      </c>
      <c r="AK78" s="358" t="s">
        <v>540</v>
      </c>
      <c r="AL78" s="40">
        <f>(365-90-15)/7</f>
        <v>37.142857142857146</v>
      </c>
      <c r="AM78" s="175">
        <f t="shared" si="23"/>
        <v>0</v>
      </c>
      <c r="AN78" s="176" t="s">
        <v>331</v>
      </c>
      <c r="AO78" s="177">
        <v>20</v>
      </c>
      <c r="AP78" s="178" t="s">
        <v>541</v>
      </c>
      <c r="AQ78" s="179">
        <v>19</v>
      </c>
      <c r="AR78" s="349"/>
      <c r="AS78" s="124">
        <v>6.3</v>
      </c>
      <c r="AT78" s="181">
        <f t="shared" si="14"/>
        <v>0</v>
      </c>
      <c r="AU78" s="182">
        <f t="shared" si="15"/>
        <v>-8.7</v>
      </c>
      <c r="AV78" s="167">
        <f t="shared" si="6"/>
        <v>-8.7</v>
      </c>
      <c r="AX78" s="360"/>
      <c r="BO78" s="159"/>
      <c r="BP78" s="160">
        <f t="shared" si="7"/>
        <v>0</v>
      </c>
      <c r="BQ78" s="330">
        <f t="shared" si="19"/>
        <v>6.3</v>
      </c>
      <c r="BR78" s="198"/>
      <c r="BS78" s="221">
        <f t="shared" si="20"/>
        <v>0</v>
      </c>
      <c r="BT78" s="350"/>
      <c r="BU78" s="331">
        <f t="shared" si="21"/>
        <v>6.3</v>
      </c>
      <c r="CY78" s="361"/>
    </row>
    <row r="79" spans="1:103" s="358" customFormat="1" ht="63" customHeight="1">
      <c r="A79" s="367"/>
      <c r="B79" s="355" t="s">
        <v>333</v>
      </c>
      <c r="C79" s="356"/>
      <c r="D79" s="166" t="s">
        <v>542</v>
      </c>
      <c r="E79" s="232" t="s">
        <v>543</v>
      </c>
      <c r="F79" s="274" t="s">
        <v>476</v>
      </c>
      <c r="G79" s="343"/>
      <c r="H79" s="269"/>
      <c r="I79" s="343"/>
      <c r="J79" s="357"/>
      <c r="K79" s="357"/>
      <c r="L79" s="334"/>
      <c r="M79" s="166"/>
      <c r="N79" s="269"/>
      <c r="O79" s="343"/>
      <c r="P79" s="269"/>
      <c r="Q79" s="187"/>
      <c r="R79" s="168"/>
      <c r="S79" s="371"/>
      <c r="T79" s="162" t="s">
        <v>330</v>
      </c>
      <c r="U79" s="333">
        <v>9</v>
      </c>
      <c r="V79" s="170"/>
      <c r="W79" s="333">
        <v>4</v>
      </c>
      <c r="X79" s="187"/>
      <c r="Y79" s="188"/>
      <c r="Z79" s="167">
        <v>0.6</v>
      </c>
      <c r="AA79" s="168"/>
      <c r="AB79" s="168">
        <f t="shared" si="18"/>
        <v>0.6</v>
      </c>
      <c r="AC79" s="168">
        <f t="shared" si="16"/>
        <v>0.6</v>
      </c>
      <c r="AE79" s="373"/>
      <c r="AF79" s="11"/>
      <c r="AG79" s="11"/>
      <c r="AH79" s="11"/>
      <c r="AI79" s="374"/>
      <c r="AJ79" s="375"/>
      <c r="AL79" s="40"/>
      <c r="AM79" s="175">
        <f t="shared" si="23"/>
        <v>0</v>
      </c>
      <c r="AN79" s="176" t="s">
        <v>331</v>
      </c>
      <c r="AO79" s="177">
        <v>9</v>
      </c>
      <c r="AP79" s="189"/>
      <c r="AQ79" s="179">
        <v>4</v>
      </c>
      <c r="AR79" s="349"/>
      <c r="AS79" s="124">
        <v>0.6</v>
      </c>
      <c r="AT79" s="181">
        <f t="shared" si="14"/>
        <v>0</v>
      </c>
      <c r="AU79" s="182">
        <f t="shared" si="15"/>
        <v>0</v>
      </c>
      <c r="AV79" s="167">
        <f t="shared" si="6"/>
        <v>0</v>
      </c>
      <c r="AX79" s="360"/>
      <c r="BO79" s="159"/>
      <c r="BP79" s="160">
        <f t="shared" si="7"/>
        <v>0</v>
      </c>
      <c r="BQ79" s="330">
        <f t="shared" si="19"/>
        <v>0.6</v>
      </c>
      <c r="BR79" s="198"/>
      <c r="BS79" s="221">
        <f t="shared" si="20"/>
        <v>0</v>
      </c>
      <c r="BT79" s="350"/>
      <c r="BU79" s="331">
        <f t="shared" si="21"/>
        <v>0.6</v>
      </c>
      <c r="CY79" s="361"/>
    </row>
    <row r="80" spans="1:103" s="358" customFormat="1" ht="56.25" customHeight="1">
      <c r="A80" s="367"/>
      <c r="B80" s="355" t="s">
        <v>333</v>
      </c>
      <c r="C80" s="356"/>
      <c r="D80" s="166" t="s">
        <v>544</v>
      </c>
      <c r="E80" s="232" t="s">
        <v>545</v>
      </c>
      <c r="F80" s="274" t="s">
        <v>546</v>
      </c>
      <c r="G80" s="343"/>
      <c r="H80" s="269"/>
      <c r="I80" s="343"/>
      <c r="J80" s="357"/>
      <c r="K80" s="357"/>
      <c r="L80" s="334"/>
      <c r="M80" s="166"/>
      <c r="N80" s="269"/>
      <c r="O80" s="343"/>
      <c r="P80" s="269"/>
      <c r="Q80" s="187"/>
      <c r="R80" s="168"/>
      <c r="S80" s="371"/>
      <c r="T80" s="162" t="s">
        <v>330</v>
      </c>
      <c r="U80" s="333">
        <v>20</v>
      </c>
      <c r="V80" s="170"/>
      <c r="W80" s="333">
        <v>14</v>
      </c>
      <c r="X80" s="187"/>
      <c r="Y80" s="188"/>
      <c r="Z80" s="167">
        <v>4.6</v>
      </c>
      <c r="AA80" s="168"/>
      <c r="AB80" s="168">
        <f t="shared" si="18"/>
        <v>4.6</v>
      </c>
      <c r="AC80" s="168">
        <f t="shared" si="16"/>
        <v>4.6</v>
      </c>
      <c r="AE80" s="373"/>
      <c r="AF80" s="11"/>
      <c r="AG80" s="11"/>
      <c r="AH80" s="11"/>
      <c r="AI80" s="374"/>
      <c r="AJ80" s="375"/>
      <c r="AL80" s="40"/>
      <c r="AM80" s="175">
        <f t="shared" si="23"/>
        <v>0</v>
      </c>
      <c r="AN80" s="176" t="s">
        <v>331</v>
      </c>
      <c r="AO80" s="177">
        <v>20</v>
      </c>
      <c r="AP80" s="189" t="s">
        <v>502</v>
      </c>
      <c r="AQ80" s="179">
        <v>11</v>
      </c>
      <c r="AR80" s="349"/>
      <c r="AS80" s="124">
        <v>3.7</v>
      </c>
      <c r="AT80" s="181">
        <f t="shared" si="14"/>
        <v>0</v>
      </c>
      <c r="AU80" s="182">
        <f t="shared" si="15"/>
        <v>-0.8999999999999995</v>
      </c>
      <c r="AV80" s="167">
        <f t="shared" si="6"/>
        <v>-0.8999999999999995</v>
      </c>
      <c r="AX80" s="360"/>
      <c r="BO80" s="159"/>
      <c r="BP80" s="160">
        <f t="shared" si="7"/>
        <v>0</v>
      </c>
      <c r="BQ80" s="330">
        <f t="shared" si="19"/>
        <v>3.7</v>
      </c>
      <c r="BR80" s="198"/>
      <c r="BS80" s="221">
        <f t="shared" si="20"/>
        <v>0</v>
      </c>
      <c r="BT80" s="350"/>
      <c r="BU80" s="331">
        <f t="shared" si="21"/>
        <v>3.7</v>
      </c>
      <c r="CY80" s="361"/>
    </row>
    <row r="81" spans="1:103" s="358" customFormat="1" ht="73.5" customHeight="1">
      <c r="A81" s="367"/>
      <c r="B81" s="355" t="s">
        <v>333</v>
      </c>
      <c r="C81" s="356"/>
      <c r="D81" s="166" t="s">
        <v>547</v>
      </c>
      <c r="E81" s="232" t="s">
        <v>548</v>
      </c>
      <c r="F81" s="274" t="s">
        <v>525</v>
      </c>
      <c r="G81" s="343"/>
      <c r="H81" s="269"/>
      <c r="I81" s="343"/>
      <c r="J81" s="357"/>
      <c r="K81" s="357"/>
      <c r="L81" s="334"/>
      <c r="M81" s="166"/>
      <c r="N81" s="269"/>
      <c r="O81" s="343"/>
      <c r="P81" s="269"/>
      <c r="Q81" s="187"/>
      <c r="R81" s="168"/>
      <c r="S81" s="371"/>
      <c r="T81" s="162" t="s">
        <v>330</v>
      </c>
      <c r="U81" s="333">
        <v>26</v>
      </c>
      <c r="V81" s="170"/>
      <c r="W81" s="333">
        <v>17</v>
      </c>
      <c r="X81" s="187"/>
      <c r="Y81" s="188"/>
      <c r="Z81" s="167">
        <v>7.4</v>
      </c>
      <c r="AA81" s="168"/>
      <c r="AB81" s="168">
        <f t="shared" si="18"/>
        <v>7.4</v>
      </c>
      <c r="AC81" s="168">
        <f t="shared" si="16"/>
        <v>7.4</v>
      </c>
      <c r="AE81" s="373"/>
      <c r="AF81" s="11"/>
      <c r="AG81" s="11"/>
      <c r="AH81" s="11"/>
      <c r="AI81" s="374"/>
      <c r="AJ81" s="375"/>
      <c r="AL81" s="40"/>
      <c r="AM81" s="175">
        <f t="shared" si="23"/>
        <v>0</v>
      </c>
      <c r="AN81" s="176" t="s">
        <v>331</v>
      </c>
      <c r="AO81" s="177">
        <v>30</v>
      </c>
      <c r="AP81" s="189" t="s">
        <v>502</v>
      </c>
      <c r="AQ81" s="179">
        <v>18</v>
      </c>
      <c r="AR81" s="349"/>
      <c r="AS81" s="124">
        <v>9</v>
      </c>
      <c r="AT81" s="181">
        <f t="shared" si="14"/>
        <v>0</v>
      </c>
      <c r="AU81" s="182">
        <f t="shared" si="15"/>
        <v>1.5999999999999996</v>
      </c>
      <c r="AV81" s="167">
        <f t="shared" si="6"/>
        <v>1.5999999999999996</v>
      </c>
      <c r="AX81" s="360"/>
      <c r="BO81" s="159"/>
      <c r="BP81" s="160">
        <f t="shared" si="7"/>
        <v>0</v>
      </c>
      <c r="BQ81" s="330">
        <f t="shared" si="19"/>
        <v>9</v>
      </c>
      <c r="BR81" s="198"/>
      <c r="BS81" s="221">
        <f t="shared" si="20"/>
        <v>0</v>
      </c>
      <c r="BT81" s="376"/>
      <c r="BU81" s="331">
        <f t="shared" si="21"/>
        <v>9</v>
      </c>
      <c r="CY81" s="361"/>
    </row>
    <row r="82" spans="1:103" s="389" customFormat="1" ht="37.5" customHeight="1">
      <c r="A82" s="377"/>
      <c r="B82" s="378"/>
      <c r="C82" s="379"/>
      <c r="D82" s="162" t="s">
        <v>549</v>
      </c>
      <c r="E82" s="380"/>
      <c r="F82" s="380"/>
      <c r="G82" s="381"/>
      <c r="H82" s="381"/>
      <c r="I82" s="381"/>
      <c r="J82" s="381"/>
      <c r="K82" s="382"/>
      <c r="L82" s="382">
        <v>180.6</v>
      </c>
      <c r="M82" s="381"/>
      <c r="N82" s="383"/>
      <c r="O82" s="383"/>
      <c r="P82" s="383"/>
      <c r="Q82" s="384"/>
      <c r="R82" s="384">
        <v>81.5</v>
      </c>
      <c r="S82" s="385"/>
      <c r="T82" s="162" t="s">
        <v>330</v>
      </c>
      <c r="U82" s="386"/>
      <c r="V82" s="387"/>
      <c r="W82" s="386"/>
      <c r="X82" s="383"/>
      <c r="Y82" s="388"/>
      <c r="Z82" s="383">
        <f>354.3-12</f>
        <v>342.3</v>
      </c>
      <c r="AA82" s="168"/>
      <c r="AB82" s="168">
        <f t="shared" si="18"/>
        <v>260.8</v>
      </c>
      <c r="AC82" s="168">
        <f t="shared" si="16"/>
        <v>260.8</v>
      </c>
      <c r="AE82" s="390"/>
      <c r="AI82" s="391"/>
      <c r="AJ82" s="391"/>
      <c r="AM82" s="175">
        <f t="shared" si="23"/>
        <v>0</v>
      </c>
      <c r="AN82" s="176"/>
      <c r="AO82" s="177"/>
      <c r="AP82" s="189"/>
      <c r="AQ82" s="179"/>
      <c r="AR82" s="392"/>
      <c r="AS82" s="124">
        <v>408.8</v>
      </c>
      <c r="AT82" s="181">
        <f t="shared" si="14"/>
        <v>0</v>
      </c>
      <c r="AU82" s="182">
        <f t="shared" si="15"/>
        <v>66.5</v>
      </c>
      <c r="AV82" s="167">
        <f t="shared" si="6"/>
        <v>66.5</v>
      </c>
      <c r="AX82" s="377"/>
      <c r="AZ82" s="389">
        <f>Z82</f>
        <v>342.3</v>
      </c>
      <c r="BD82" s="393">
        <f>R82</f>
        <v>81.5</v>
      </c>
      <c r="BO82" s="159">
        <f>ROUND(AO82*AQ82/60,1)</f>
        <v>0</v>
      </c>
      <c r="BP82" s="160">
        <f t="shared" si="7"/>
        <v>0</v>
      </c>
      <c r="BQ82" s="330">
        <f t="shared" si="19"/>
        <v>0</v>
      </c>
      <c r="BR82" s="198"/>
      <c r="BS82" s="221"/>
      <c r="BT82" s="394">
        <f>AS82</f>
        <v>408.8</v>
      </c>
      <c r="BU82" s="395"/>
      <c r="CY82" s="396"/>
    </row>
    <row r="83" spans="1:103" s="409" customFormat="1" ht="36" customHeight="1" thickBot="1">
      <c r="A83" s="397"/>
      <c r="B83" s="398"/>
      <c r="C83" s="399"/>
      <c r="D83" s="400" t="s">
        <v>550</v>
      </c>
      <c r="E83" s="401"/>
      <c r="F83" s="401"/>
      <c r="G83" s="400"/>
      <c r="H83" s="400"/>
      <c r="I83" s="400"/>
      <c r="J83" s="400">
        <f>SUM(J21:J82)</f>
        <v>5062</v>
      </c>
      <c r="K83" s="400">
        <f>SUM(K21:K82)</f>
        <v>1221.2999999999997</v>
      </c>
      <c r="L83" s="402">
        <f>SUM(L21:L82)</f>
        <v>301.5</v>
      </c>
      <c r="M83" s="400"/>
      <c r="N83" s="403"/>
      <c r="O83" s="403"/>
      <c r="P83" s="403"/>
      <c r="Q83" s="404">
        <f>SUM(Q21:Q82)</f>
        <v>1221.2999999999997</v>
      </c>
      <c r="R83" s="405">
        <f>SUM(R62:R82)</f>
        <v>301.5</v>
      </c>
      <c r="S83" s="406">
        <f>301.5-R83</f>
        <v>0</v>
      </c>
      <c r="T83" s="407"/>
      <c r="U83" s="408"/>
      <c r="V83" s="407"/>
      <c r="W83" s="408"/>
      <c r="X83" s="404">
        <f>SUM(X21:X82)</f>
        <v>1236.7</v>
      </c>
      <c r="Y83" s="404">
        <f>SUM(Y21:Y82)</f>
        <v>1171.1333333333334</v>
      </c>
      <c r="Z83" s="404">
        <f>SUM(Z21:Z82)</f>
        <v>548.1</v>
      </c>
      <c r="AA83" s="404">
        <f>X83-Q83</f>
        <v>15.400000000000318</v>
      </c>
      <c r="AB83" s="404">
        <f t="shared" si="18"/>
        <v>246.60000000000002</v>
      </c>
      <c r="AC83" s="404">
        <f t="shared" si="16"/>
        <v>262.00000000000034</v>
      </c>
      <c r="AE83" s="410"/>
      <c r="AI83" s="411"/>
      <c r="AJ83" s="411"/>
      <c r="AM83" s="175">
        <f t="shared" si="23"/>
        <v>65.5666666666666</v>
      </c>
      <c r="AN83" s="412"/>
      <c r="AO83" s="413"/>
      <c r="AP83" s="414"/>
      <c r="AQ83" s="415"/>
      <c r="AR83" s="416">
        <f>SUM(AR20:AR82)</f>
        <v>1274.9166666666667</v>
      </c>
      <c r="AS83" s="416">
        <f>SUM(AS20:AS82)</f>
        <v>608.3000000000001</v>
      </c>
      <c r="AT83" s="417">
        <f t="shared" si="14"/>
        <v>38.2166666666667</v>
      </c>
      <c r="AU83" s="418">
        <f t="shared" si="15"/>
        <v>60.200000000000045</v>
      </c>
      <c r="AV83" s="404">
        <f aca="true" t="shared" si="24" ref="AV83:AV144">AT83+AU83</f>
        <v>98.41666666666674</v>
      </c>
      <c r="AX83" s="419">
        <f>X83</f>
        <v>1236.7</v>
      </c>
      <c r="AZ83" s="420">
        <f>Z83</f>
        <v>548.1</v>
      </c>
      <c r="BA83" s="420">
        <f>AX83+AZ83</f>
        <v>1784.8000000000002</v>
      </c>
      <c r="BB83" s="421">
        <f>Q83</f>
        <v>1221.2999999999997</v>
      </c>
      <c r="BC83" s="421">
        <f>R83</f>
        <v>301.5</v>
      </c>
      <c r="BD83" s="422">
        <f>Q83+R83</f>
        <v>1522.7999999999997</v>
      </c>
      <c r="BE83" s="422">
        <f>BA83-BD83</f>
        <v>262.00000000000045</v>
      </c>
      <c r="BO83" s="159">
        <f>ROUND(AO83*AQ83/60,1)</f>
        <v>0</v>
      </c>
      <c r="BP83" s="160">
        <f aca="true" t="shared" si="25" ref="BP83:BP144">AR83-BO83</f>
        <v>1274.9166666666667</v>
      </c>
      <c r="BQ83" s="131"/>
      <c r="BR83" s="132"/>
      <c r="BS83" s="423">
        <f>SUM(BS20:BS82)</f>
        <v>4.7</v>
      </c>
      <c r="BT83" s="423">
        <f>SUM(BT20:BT82)</f>
        <v>408.8</v>
      </c>
      <c r="BU83" s="423">
        <f>SUM(BU20:BU82)</f>
        <v>194.8</v>
      </c>
      <c r="CY83" s="424"/>
    </row>
    <row r="84" spans="1:103" s="80" customFormat="1" ht="52.5" customHeight="1" thickBot="1">
      <c r="A84" s="425"/>
      <c r="B84" s="426"/>
      <c r="C84" s="427"/>
      <c r="D84" s="428" t="s">
        <v>551</v>
      </c>
      <c r="E84" s="428"/>
      <c r="F84" s="428"/>
      <c r="G84" s="428"/>
      <c r="H84" s="428"/>
      <c r="I84" s="428"/>
      <c r="J84" s="428"/>
      <c r="K84" s="428"/>
      <c r="L84" s="428"/>
      <c r="M84" s="429"/>
      <c r="N84" s="429"/>
      <c r="O84" s="429"/>
      <c r="P84" s="429"/>
      <c r="Q84" s="429"/>
      <c r="R84" s="429"/>
      <c r="S84" s="115"/>
      <c r="T84" s="170"/>
      <c r="U84" s="169"/>
      <c r="V84" s="170"/>
      <c r="W84" s="169"/>
      <c r="X84" s="193"/>
      <c r="Y84" s="188"/>
      <c r="Z84" s="166"/>
      <c r="AA84" s="168"/>
      <c r="AB84" s="168"/>
      <c r="AC84" s="168"/>
      <c r="AD84" s="110"/>
      <c r="AE84" s="110"/>
      <c r="AF84" s="110"/>
      <c r="AG84" s="110"/>
      <c r="AH84" s="110"/>
      <c r="AI84" s="121"/>
      <c r="AJ84" s="121"/>
      <c r="AK84" s="110"/>
      <c r="AL84" s="110"/>
      <c r="AM84" s="122">
        <f t="shared" si="23"/>
        <v>0</v>
      </c>
      <c r="AN84" s="176"/>
      <c r="AO84" s="177"/>
      <c r="AP84" s="189"/>
      <c r="AQ84" s="179"/>
      <c r="AR84" s="180"/>
      <c r="AS84" s="124"/>
      <c r="AT84" s="181">
        <f aca="true" t="shared" si="26" ref="AT84:AT115">AR84-X84</f>
        <v>0</v>
      </c>
      <c r="AU84" s="181">
        <f aca="true" t="shared" si="27" ref="AU84:AU115">AS84-Z84</f>
        <v>0</v>
      </c>
      <c r="AV84" s="167">
        <f t="shared" si="24"/>
        <v>0</v>
      </c>
      <c r="AX84" s="110"/>
      <c r="BO84" s="159">
        <f>ROUND(AO84*AQ84/60,1)</f>
        <v>0</v>
      </c>
      <c r="BP84" s="160">
        <f t="shared" si="25"/>
        <v>0</v>
      </c>
      <c r="BQ84" s="131"/>
      <c r="BR84" s="132"/>
      <c r="BS84" s="133"/>
      <c r="BT84" s="134"/>
      <c r="BU84" s="135"/>
      <c r="CY84" s="136"/>
    </row>
    <row r="85" spans="1:103" s="80" customFormat="1" ht="132" customHeight="1">
      <c r="A85" s="80">
        <v>1</v>
      </c>
      <c r="B85" s="430" t="s">
        <v>552</v>
      </c>
      <c r="C85" s="431" t="s">
        <v>552</v>
      </c>
      <c r="D85" s="139" t="s">
        <v>553</v>
      </c>
      <c r="E85" s="140" t="s">
        <v>554</v>
      </c>
      <c r="F85" s="432" t="s">
        <v>555</v>
      </c>
      <c r="G85" s="139" t="s">
        <v>335</v>
      </c>
      <c r="H85" s="139">
        <v>30</v>
      </c>
      <c r="I85" s="139" t="s">
        <v>377</v>
      </c>
      <c r="J85" s="139">
        <v>52</v>
      </c>
      <c r="K85" s="433">
        <v>26</v>
      </c>
      <c r="L85" s="433"/>
      <c r="M85" s="139" t="s">
        <v>335</v>
      </c>
      <c r="N85" s="434">
        <v>30</v>
      </c>
      <c r="O85" s="434" t="s">
        <v>377</v>
      </c>
      <c r="P85" s="434">
        <v>52</v>
      </c>
      <c r="Q85" s="158">
        <v>26</v>
      </c>
      <c r="R85" s="435"/>
      <c r="S85" s="436"/>
      <c r="T85" s="139" t="s">
        <v>330</v>
      </c>
      <c r="U85" s="437">
        <v>28</v>
      </c>
      <c r="V85" s="438" t="s">
        <v>377</v>
      </c>
      <c r="W85" s="437">
        <v>40</v>
      </c>
      <c r="X85" s="439">
        <v>18.7</v>
      </c>
      <c r="Y85" s="440">
        <f>ROUND(U85*W85/60,1)</f>
        <v>18.7</v>
      </c>
      <c r="Z85" s="434"/>
      <c r="AA85" s="435">
        <f>X85-Q85</f>
        <v>-7.300000000000001</v>
      </c>
      <c r="AB85" s="435"/>
      <c r="AC85" s="435">
        <f>AB85+AA85</f>
        <v>-7.300000000000001</v>
      </c>
      <c r="AE85" s="128"/>
      <c r="AI85" s="174"/>
      <c r="AJ85" s="174"/>
      <c r="AM85" s="175">
        <f t="shared" si="23"/>
        <v>0</v>
      </c>
      <c r="AN85" s="441" t="s">
        <v>331</v>
      </c>
      <c r="AO85" s="442">
        <v>27</v>
      </c>
      <c r="AP85" s="443" t="s">
        <v>556</v>
      </c>
      <c r="AQ85" s="444">
        <v>39</v>
      </c>
      <c r="AR85" s="152">
        <v>17.6</v>
      </c>
      <c r="AS85" s="155"/>
      <c r="AT85" s="156">
        <f t="shared" si="26"/>
        <v>-1.0999999999999979</v>
      </c>
      <c r="AU85" s="157">
        <f t="shared" si="27"/>
        <v>0</v>
      </c>
      <c r="AV85" s="158">
        <f t="shared" si="24"/>
        <v>-1.0999999999999979</v>
      </c>
      <c r="AX85" s="110"/>
      <c r="BO85" s="159">
        <f>ROUND(AO85*AQ85/60,1)</f>
        <v>17.6</v>
      </c>
      <c r="BP85" s="160">
        <f t="shared" si="25"/>
        <v>0</v>
      </c>
      <c r="BQ85" s="131"/>
      <c r="BR85" s="132"/>
      <c r="BS85" s="133"/>
      <c r="BT85" s="134"/>
      <c r="BU85" s="135"/>
      <c r="CY85" s="136"/>
    </row>
    <row r="86" spans="1:103" s="445" customFormat="1" ht="72" customHeight="1">
      <c r="A86" s="445">
        <v>6</v>
      </c>
      <c r="B86" s="446" t="s">
        <v>552</v>
      </c>
      <c r="C86" s="447" t="s">
        <v>557</v>
      </c>
      <c r="D86" s="162" t="s">
        <v>558</v>
      </c>
      <c r="E86" s="227" t="s">
        <v>559</v>
      </c>
      <c r="F86" s="285" t="s">
        <v>560</v>
      </c>
      <c r="G86" s="339"/>
      <c r="H86" s="339"/>
      <c r="I86" s="339"/>
      <c r="J86" s="339"/>
      <c r="K86" s="448"/>
      <c r="L86" s="448"/>
      <c r="M86" s="339"/>
      <c r="N86" s="343"/>
      <c r="O86" s="343"/>
      <c r="P86" s="343"/>
      <c r="Q86" s="449"/>
      <c r="R86" s="450"/>
      <c r="S86" s="222"/>
      <c r="T86" s="162" t="s">
        <v>330</v>
      </c>
      <c r="U86" s="205"/>
      <c r="V86" s="209"/>
      <c r="W86" s="205"/>
      <c r="X86" s="206">
        <v>53</v>
      </c>
      <c r="Y86" s="226">
        <v>53</v>
      </c>
      <c r="Z86" s="207"/>
      <c r="AA86" s="168">
        <f>X86-Q86</f>
        <v>53</v>
      </c>
      <c r="AB86" s="168"/>
      <c r="AC86" s="168">
        <f>AB86+AA86</f>
        <v>53</v>
      </c>
      <c r="AE86" s="451"/>
      <c r="AI86" s="452"/>
      <c r="AJ86" s="452"/>
      <c r="AM86" s="175">
        <f t="shared" si="23"/>
        <v>0</v>
      </c>
      <c r="AN86" s="176" t="s">
        <v>331</v>
      </c>
      <c r="AO86" s="177"/>
      <c r="AP86" s="189"/>
      <c r="AQ86" s="179"/>
      <c r="AR86" s="180">
        <v>53</v>
      </c>
      <c r="AS86" s="124"/>
      <c r="AT86" s="181">
        <f t="shared" si="26"/>
        <v>0</v>
      </c>
      <c r="AU86" s="182">
        <f t="shared" si="27"/>
        <v>0</v>
      </c>
      <c r="AV86" s="167">
        <f t="shared" si="24"/>
        <v>0</v>
      </c>
      <c r="AX86" s="453"/>
      <c r="BO86" s="159">
        <v>53</v>
      </c>
      <c r="BP86" s="160">
        <f t="shared" si="25"/>
        <v>0</v>
      </c>
      <c r="BQ86" s="131"/>
      <c r="BR86" s="132"/>
      <c r="BS86" s="454"/>
      <c r="BT86" s="455"/>
      <c r="BU86" s="456"/>
      <c r="CY86" s="457"/>
    </row>
    <row r="87" spans="1:103" s="80" customFormat="1" ht="86.25" customHeight="1">
      <c r="A87" s="80">
        <v>1</v>
      </c>
      <c r="B87" s="430" t="s">
        <v>552</v>
      </c>
      <c r="C87" s="215" t="s">
        <v>552</v>
      </c>
      <c r="D87" s="162" t="s">
        <v>561</v>
      </c>
      <c r="E87" s="163" t="s">
        <v>562</v>
      </c>
      <c r="F87" s="224" t="s">
        <v>563</v>
      </c>
      <c r="G87" s="162" t="s">
        <v>335</v>
      </c>
      <c r="H87" s="162">
        <v>120</v>
      </c>
      <c r="I87" s="162"/>
      <c r="J87" s="162">
        <v>6</v>
      </c>
      <c r="K87" s="165">
        <v>12</v>
      </c>
      <c r="L87" s="165"/>
      <c r="M87" s="162" t="s">
        <v>335</v>
      </c>
      <c r="N87" s="166">
        <v>120</v>
      </c>
      <c r="O87" s="166"/>
      <c r="P87" s="166">
        <v>6</v>
      </c>
      <c r="Q87" s="167">
        <v>12</v>
      </c>
      <c r="R87" s="168"/>
      <c r="S87" s="115"/>
      <c r="T87" s="162" t="s">
        <v>330</v>
      </c>
      <c r="U87" s="169"/>
      <c r="V87" s="170"/>
      <c r="W87" s="169"/>
      <c r="X87" s="167">
        <v>19.8</v>
      </c>
      <c r="Y87" s="172">
        <v>19.8</v>
      </c>
      <c r="Z87" s="166"/>
      <c r="AA87" s="168">
        <f>X87-Q87</f>
        <v>7.800000000000001</v>
      </c>
      <c r="AB87" s="168"/>
      <c r="AC87" s="168">
        <f>AB87+AA87</f>
        <v>7.800000000000001</v>
      </c>
      <c r="AE87" s="128"/>
      <c r="AI87" s="174"/>
      <c r="AJ87" s="174"/>
      <c r="AM87" s="175">
        <f t="shared" si="23"/>
        <v>0</v>
      </c>
      <c r="AN87" s="176" t="s">
        <v>331</v>
      </c>
      <c r="AO87" s="177"/>
      <c r="AP87" s="189"/>
      <c r="AQ87" s="179"/>
      <c r="AR87" s="180">
        <v>19.5</v>
      </c>
      <c r="AS87" s="124"/>
      <c r="AT87" s="181">
        <f t="shared" si="26"/>
        <v>-0.3000000000000007</v>
      </c>
      <c r="AU87" s="182">
        <f t="shared" si="27"/>
        <v>0</v>
      </c>
      <c r="AV87" s="167">
        <f t="shared" si="24"/>
        <v>-0.3000000000000007</v>
      </c>
      <c r="AX87" s="110"/>
      <c r="BO87" s="159">
        <v>19.5</v>
      </c>
      <c r="BP87" s="160">
        <f t="shared" si="25"/>
        <v>0</v>
      </c>
      <c r="BQ87" s="131"/>
      <c r="BR87" s="132"/>
      <c r="BS87" s="133"/>
      <c r="BT87" s="134"/>
      <c r="BU87" s="135"/>
      <c r="CY87" s="136"/>
    </row>
    <row r="88" spans="1:103" s="132" customFormat="1" ht="63" customHeight="1">
      <c r="A88" s="132">
        <v>1</v>
      </c>
      <c r="B88" s="430" t="s">
        <v>552</v>
      </c>
      <c r="C88" s="458"/>
      <c r="D88" s="166" t="s">
        <v>564</v>
      </c>
      <c r="E88" s="232" t="s">
        <v>565</v>
      </c>
      <c r="F88" s="224" t="s">
        <v>566</v>
      </c>
      <c r="G88" s="166"/>
      <c r="H88" s="166"/>
      <c r="I88" s="166"/>
      <c r="J88" s="166"/>
      <c r="K88" s="168"/>
      <c r="L88" s="168"/>
      <c r="M88" s="166"/>
      <c r="N88" s="166"/>
      <c r="O88" s="166"/>
      <c r="P88" s="166"/>
      <c r="Q88" s="167"/>
      <c r="R88" s="168"/>
      <c r="S88" s="117"/>
      <c r="T88" s="162" t="s">
        <v>330</v>
      </c>
      <c r="U88" s="169"/>
      <c r="V88" s="170"/>
      <c r="W88" s="169"/>
      <c r="X88" s="193">
        <v>10.6</v>
      </c>
      <c r="Y88" s="172">
        <v>10.6</v>
      </c>
      <c r="Z88" s="166"/>
      <c r="AA88" s="168">
        <f>X88-Q88</f>
        <v>10.6</v>
      </c>
      <c r="AB88" s="168"/>
      <c r="AC88" s="168">
        <f>AB88+AA88</f>
        <v>10.6</v>
      </c>
      <c r="AE88" s="149"/>
      <c r="AM88" s="175">
        <f t="shared" si="23"/>
        <v>0</v>
      </c>
      <c r="AN88" s="176" t="s">
        <v>331</v>
      </c>
      <c r="AO88" s="177">
        <f>AR88/AQ88*60</f>
        <v>126</v>
      </c>
      <c r="AP88" s="189"/>
      <c r="AQ88" s="179">
        <v>5</v>
      </c>
      <c r="AR88" s="180">
        <v>10.5</v>
      </c>
      <c r="AS88" s="124"/>
      <c r="AT88" s="181">
        <f t="shared" si="26"/>
        <v>-0.09999999999999964</v>
      </c>
      <c r="AU88" s="182">
        <f t="shared" si="27"/>
        <v>0</v>
      </c>
      <c r="AV88" s="167">
        <f t="shared" si="24"/>
        <v>-0.09999999999999964</v>
      </c>
      <c r="AX88" s="117"/>
      <c r="BO88" s="159">
        <f>ROUND(AO88*AQ88/60,1)</f>
        <v>10.5</v>
      </c>
      <c r="BP88" s="160">
        <f t="shared" si="25"/>
        <v>0</v>
      </c>
      <c r="BQ88" s="131"/>
      <c r="BS88" s="133"/>
      <c r="BT88" s="134"/>
      <c r="BU88" s="135"/>
      <c r="CY88" s="161"/>
    </row>
    <row r="89" spans="2:103" s="132" customFormat="1" ht="35.25" customHeight="1">
      <c r="B89" s="430" t="s">
        <v>552</v>
      </c>
      <c r="C89" s="458" t="s">
        <v>557</v>
      </c>
      <c r="D89" s="166" t="s">
        <v>567</v>
      </c>
      <c r="E89" s="232"/>
      <c r="F89" s="224" t="s">
        <v>566</v>
      </c>
      <c r="G89" s="166"/>
      <c r="H89" s="166"/>
      <c r="I89" s="166"/>
      <c r="J89" s="166"/>
      <c r="K89" s="168"/>
      <c r="L89" s="168"/>
      <c r="M89" s="166"/>
      <c r="N89" s="166"/>
      <c r="O89" s="166"/>
      <c r="P89" s="166"/>
      <c r="Q89" s="167"/>
      <c r="R89" s="168"/>
      <c r="S89" s="117"/>
      <c r="T89" s="162" t="s">
        <v>330</v>
      </c>
      <c r="U89" s="169"/>
      <c r="V89" s="170"/>
      <c r="W89" s="169"/>
      <c r="X89" s="167">
        <v>6.3</v>
      </c>
      <c r="Y89" s="172">
        <f>4.2+2.1</f>
        <v>6.300000000000001</v>
      </c>
      <c r="Z89" s="166"/>
      <c r="AA89" s="168">
        <f>X89-Q89</f>
        <v>6.3</v>
      </c>
      <c r="AB89" s="168"/>
      <c r="AC89" s="168">
        <f>AB89+AA89</f>
        <v>6.3</v>
      </c>
      <c r="AE89" s="149"/>
      <c r="AM89" s="175">
        <f t="shared" si="23"/>
        <v>0</v>
      </c>
      <c r="AN89" s="176" t="s">
        <v>331</v>
      </c>
      <c r="AO89" s="177"/>
      <c r="AP89" s="189"/>
      <c r="AQ89" s="179"/>
      <c r="AR89" s="180">
        <v>2.1</v>
      </c>
      <c r="AS89" s="124"/>
      <c r="AT89" s="181">
        <f t="shared" si="26"/>
        <v>-4.199999999999999</v>
      </c>
      <c r="AU89" s="182">
        <f t="shared" si="27"/>
        <v>0</v>
      </c>
      <c r="AV89" s="167">
        <f t="shared" si="24"/>
        <v>-4.199999999999999</v>
      </c>
      <c r="AX89" s="117"/>
      <c r="BO89" s="159">
        <v>2.1</v>
      </c>
      <c r="BP89" s="160">
        <f t="shared" si="25"/>
        <v>0</v>
      </c>
      <c r="BQ89" s="131"/>
      <c r="BS89" s="133"/>
      <c r="BT89" s="134"/>
      <c r="BU89" s="135"/>
      <c r="CY89" s="161"/>
    </row>
    <row r="90" spans="1:103" s="132" customFormat="1" ht="33.75" customHeight="1">
      <c r="A90" s="132">
        <v>1</v>
      </c>
      <c r="B90" s="430" t="s">
        <v>552</v>
      </c>
      <c r="C90" s="458"/>
      <c r="D90" s="166" t="s">
        <v>568</v>
      </c>
      <c r="E90" s="232" t="s">
        <v>569</v>
      </c>
      <c r="F90" s="224" t="s">
        <v>566</v>
      </c>
      <c r="G90" s="166"/>
      <c r="H90" s="166"/>
      <c r="I90" s="166"/>
      <c r="J90" s="166"/>
      <c r="K90" s="168"/>
      <c r="L90" s="168"/>
      <c r="M90" s="166"/>
      <c r="N90" s="166"/>
      <c r="O90" s="166"/>
      <c r="P90" s="166"/>
      <c r="Q90" s="167"/>
      <c r="R90" s="168"/>
      <c r="S90" s="117"/>
      <c r="T90" s="162" t="s">
        <v>330</v>
      </c>
      <c r="U90" s="169">
        <v>18</v>
      </c>
      <c r="V90" s="170"/>
      <c r="W90" s="169">
        <v>1</v>
      </c>
      <c r="X90" s="193">
        <v>0.3</v>
      </c>
      <c r="Y90" s="172">
        <v>0.3</v>
      </c>
      <c r="Z90" s="166"/>
      <c r="AA90" s="168">
        <f aca="true" t="shared" si="28" ref="AA90:AA95">X90-Q90</f>
        <v>0.3</v>
      </c>
      <c r="AB90" s="168"/>
      <c r="AC90" s="168">
        <f aca="true" t="shared" si="29" ref="AC90:AC99">AB90+AA90</f>
        <v>0.3</v>
      </c>
      <c r="AE90" s="149"/>
      <c r="AM90" s="175">
        <f t="shared" si="23"/>
        <v>0</v>
      </c>
      <c r="AN90" s="176" t="s">
        <v>331</v>
      </c>
      <c r="AO90" s="177">
        <v>15</v>
      </c>
      <c r="AP90" s="189"/>
      <c r="AQ90" s="179">
        <v>1</v>
      </c>
      <c r="AR90" s="180">
        <v>0.3</v>
      </c>
      <c r="AS90" s="124"/>
      <c r="AT90" s="181">
        <f t="shared" si="26"/>
        <v>0</v>
      </c>
      <c r="AU90" s="182">
        <f t="shared" si="27"/>
        <v>0</v>
      </c>
      <c r="AV90" s="167">
        <f t="shared" si="24"/>
        <v>0</v>
      </c>
      <c r="AX90" s="117"/>
      <c r="BO90" s="159">
        <v>0.3</v>
      </c>
      <c r="BP90" s="160">
        <f t="shared" si="25"/>
        <v>0</v>
      </c>
      <c r="BQ90" s="131"/>
      <c r="BS90" s="133"/>
      <c r="BT90" s="134"/>
      <c r="BU90" s="135"/>
      <c r="CY90" s="161"/>
    </row>
    <row r="91" spans="1:103" s="80" customFormat="1" ht="105" customHeight="1">
      <c r="A91" s="80">
        <v>3</v>
      </c>
      <c r="B91" s="111" t="s">
        <v>552</v>
      </c>
      <c r="C91" s="215" t="s">
        <v>333</v>
      </c>
      <c r="D91" s="166" t="s">
        <v>570</v>
      </c>
      <c r="E91" s="163" t="s">
        <v>571</v>
      </c>
      <c r="F91" s="224" t="s">
        <v>572</v>
      </c>
      <c r="G91" s="162" t="s">
        <v>335</v>
      </c>
      <c r="H91" s="162">
        <v>30</v>
      </c>
      <c r="I91" s="162" t="s">
        <v>573</v>
      </c>
      <c r="J91" s="162">
        <v>12</v>
      </c>
      <c r="K91" s="165">
        <v>6</v>
      </c>
      <c r="L91" s="165"/>
      <c r="M91" s="162"/>
      <c r="N91" s="166"/>
      <c r="O91" s="166"/>
      <c r="P91" s="166"/>
      <c r="Q91" s="167"/>
      <c r="R91" s="168"/>
      <c r="S91" s="208">
        <f>Q91-K91</f>
        <v>-6</v>
      </c>
      <c r="T91" s="162" t="s">
        <v>330</v>
      </c>
      <c r="U91" s="205"/>
      <c r="V91" s="209"/>
      <c r="W91" s="205"/>
      <c r="X91" s="206">
        <v>1.3</v>
      </c>
      <c r="Y91" s="219">
        <v>1.3</v>
      </c>
      <c r="Z91" s="210"/>
      <c r="AA91" s="168">
        <f t="shared" si="28"/>
        <v>1.3</v>
      </c>
      <c r="AB91" s="168"/>
      <c r="AC91" s="168">
        <f t="shared" si="29"/>
        <v>1.3</v>
      </c>
      <c r="AE91" s="128"/>
      <c r="AI91" s="174"/>
      <c r="AJ91" s="174"/>
      <c r="AM91" s="175">
        <f aca="true" t="shared" si="30" ref="AM91:AM106">X91-Y91</f>
        <v>0</v>
      </c>
      <c r="AN91" s="176" t="s">
        <v>331</v>
      </c>
      <c r="AO91" s="177"/>
      <c r="AP91" s="189"/>
      <c r="AQ91" s="179"/>
      <c r="AR91" s="180">
        <v>1.2</v>
      </c>
      <c r="AS91" s="124"/>
      <c r="AT91" s="181">
        <f t="shared" si="26"/>
        <v>-0.10000000000000009</v>
      </c>
      <c r="AU91" s="182">
        <f t="shared" si="27"/>
        <v>0</v>
      </c>
      <c r="AV91" s="167">
        <f t="shared" si="24"/>
        <v>-0.10000000000000009</v>
      </c>
      <c r="AX91" s="110"/>
      <c r="BO91" s="159">
        <v>1.2</v>
      </c>
      <c r="BP91" s="160">
        <f t="shared" si="25"/>
        <v>0</v>
      </c>
      <c r="BQ91" s="131"/>
      <c r="BR91" s="132"/>
      <c r="BS91" s="133"/>
      <c r="BT91" s="134"/>
      <c r="BU91" s="135"/>
      <c r="CY91" s="136"/>
    </row>
    <row r="92" spans="1:103" s="459" customFormat="1" ht="49.5" customHeight="1">
      <c r="A92" s="459">
        <v>3</v>
      </c>
      <c r="B92" s="460" t="s">
        <v>552</v>
      </c>
      <c r="C92" s="461" t="s">
        <v>333</v>
      </c>
      <c r="D92" s="166" t="s">
        <v>447</v>
      </c>
      <c r="E92" s="166" t="s">
        <v>574</v>
      </c>
      <c r="F92" s="224" t="s">
        <v>566</v>
      </c>
      <c r="G92" s="462"/>
      <c r="H92" s="462"/>
      <c r="I92" s="462"/>
      <c r="J92" s="462"/>
      <c r="K92" s="463"/>
      <c r="L92" s="463"/>
      <c r="M92" s="462"/>
      <c r="N92" s="462"/>
      <c r="O92" s="462"/>
      <c r="P92" s="462"/>
      <c r="Q92" s="464"/>
      <c r="R92" s="463"/>
      <c r="S92" s="465"/>
      <c r="T92" s="166" t="s">
        <v>330</v>
      </c>
      <c r="U92" s="466"/>
      <c r="V92" s="301"/>
      <c r="W92" s="466"/>
      <c r="X92" s="304">
        <f>10.8-1.3</f>
        <v>9.5</v>
      </c>
      <c r="Y92" s="467">
        <v>9.5</v>
      </c>
      <c r="Z92" s="465"/>
      <c r="AA92" s="168">
        <f t="shared" si="28"/>
        <v>9.5</v>
      </c>
      <c r="AB92" s="168"/>
      <c r="AC92" s="168">
        <f t="shared" si="29"/>
        <v>9.5</v>
      </c>
      <c r="AE92" s="468"/>
      <c r="AM92" s="150">
        <f t="shared" si="30"/>
        <v>0</v>
      </c>
      <c r="AN92" s="195" t="s">
        <v>331</v>
      </c>
      <c r="AO92" s="180"/>
      <c r="AP92" s="196"/>
      <c r="AQ92" s="197"/>
      <c r="AR92" s="309">
        <f>5.5+1.1+3.7+0.9</f>
        <v>11.200000000000001</v>
      </c>
      <c r="AS92" s="124"/>
      <c r="AT92" s="181">
        <f t="shared" si="26"/>
        <v>1.700000000000001</v>
      </c>
      <c r="AU92" s="182">
        <f t="shared" si="27"/>
        <v>0</v>
      </c>
      <c r="AV92" s="167">
        <f t="shared" si="24"/>
        <v>1.700000000000001</v>
      </c>
      <c r="AX92" s="469"/>
      <c r="BO92" s="159">
        <v>11.2</v>
      </c>
      <c r="BP92" s="160">
        <f t="shared" si="25"/>
        <v>0</v>
      </c>
      <c r="BQ92" s="131"/>
      <c r="BR92" s="132"/>
      <c r="BS92" s="470"/>
      <c r="BT92" s="471"/>
      <c r="BU92" s="472"/>
      <c r="CY92" s="473"/>
    </row>
    <row r="93" spans="2:103" s="474" customFormat="1" ht="61.5" customHeight="1">
      <c r="B93" s="475"/>
      <c r="C93" s="476"/>
      <c r="D93" s="477" t="s">
        <v>575</v>
      </c>
      <c r="E93" s="365" t="s">
        <v>576</v>
      </c>
      <c r="F93" s="478" t="s">
        <v>566</v>
      </c>
      <c r="G93" s="479"/>
      <c r="H93" s="479"/>
      <c r="I93" s="479"/>
      <c r="J93" s="479"/>
      <c r="K93" s="480"/>
      <c r="L93" s="480"/>
      <c r="M93" s="479"/>
      <c r="N93" s="299"/>
      <c r="O93" s="299"/>
      <c r="P93" s="299"/>
      <c r="Q93" s="481"/>
      <c r="R93" s="300"/>
      <c r="S93" s="302"/>
      <c r="T93" s="162"/>
      <c r="U93" s="303"/>
      <c r="V93" s="301"/>
      <c r="W93" s="303"/>
      <c r="X93" s="482"/>
      <c r="Y93" s="483"/>
      <c r="Z93" s="305"/>
      <c r="AA93" s="168"/>
      <c r="AB93" s="168"/>
      <c r="AC93" s="168"/>
      <c r="AE93" s="484"/>
      <c r="AI93" s="308"/>
      <c r="AJ93" s="308"/>
      <c r="AM93" s="175"/>
      <c r="AN93" s="176" t="s">
        <v>331</v>
      </c>
      <c r="AO93" s="177">
        <v>25</v>
      </c>
      <c r="AP93" s="189" t="s">
        <v>577</v>
      </c>
      <c r="AQ93" s="179">
        <v>9</v>
      </c>
      <c r="AR93" s="309">
        <v>3.8</v>
      </c>
      <c r="AS93" s="124"/>
      <c r="AT93" s="181">
        <f t="shared" si="26"/>
        <v>3.8</v>
      </c>
      <c r="AU93" s="182">
        <f t="shared" si="27"/>
        <v>0</v>
      </c>
      <c r="AV93" s="167">
        <f t="shared" si="24"/>
        <v>3.8</v>
      </c>
      <c r="AX93" s="485"/>
      <c r="BO93" s="159">
        <f>ROUND(AO93*AQ93/60,1)</f>
        <v>3.8</v>
      </c>
      <c r="BP93" s="160">
        <f t="shared" si="25"/>
        <v>0</v>
      </c>
      <c r="BQ93" s="131"/>
      <c r="BR93" s="132"/>
      <c r="BS93" s="310"/>
      <c r="BT93" s="311"/>
      <c r="BU93" s="312"/>
      <c r="CY93" s="486"/>
    </row>
    <row r="94" spans="1:103" s="445" customFormat="1" ht="62.25" customHeight="1">
      <c r="A94" s="445">
        <v>10</v>
      </c>
      <c r="B94" s="446" t="s">
        <v>552</v>
      </c>
      <c r="C94" s="447" t="s">
        <v>470</v>
      </c>
      <c r="D94" s="162" t="s">
        <v>578</v>
      </c>
      <c r="E94" s="163" t="s">
        <v>579</v>
      </c>
      <c r="F94" s="478" t="s">
        <v>566</v>
      </c>
      <c r="G94" s="339"/>
      <c r="H94" s="339"/>
      <c r="I94" s="339"/>
      <c r="J94" s="339"/>
      <c r="K94" s="448"/>
      <c r="L94" s="448"/>
      <c r="M94" s="339"/>
      <c r="N94" s="343"/>
      <c r="O94" s="343"/>
      <c r="P94" s="343"/>
      <c r="Q94" s="449"/>
      <c r="R94" s="450"/>
      <c r="S94" s="222"/>
      <c r="T94" s="162" t="s">
        <v>330</v>
      </c>
      <c r="U94" s="205"/>
      <c r="V94" s="209"/>
      <c r="W94" s="205"/>
      <c r="X94" s="206">
        <v>8.1</v>
      </c>
      <c r="Y94" s="226">
        <v>8.1</v>
      </c>
      <c r="Z94" s="207"/>
      <c r="AA94" s="168">
        <f t="shared" si="28"/>
        <v>8.1</v>
      </c>
      <c r="AB94" s="168"/>
      <c r="AC94" s="168">
        <f t="shared" si="29"/>
        <v>8.1</v>
      </c>
      <c r="AE94" s="451"/>
      <c r="AI94" s="452"/>
      <c r="AJ94" s="452"/>
      <c r="AM94" s="175">
        <f t="shared" si="30"/>
        <v>0</v>
      </c>
      <c r="AN94" s="176" t="s">
        <v>331</v>
      </c>
      <c r="AO94" s="177"/>
      <c r="AP94" s="189"/>
      <c r="AQ94" s="179"/>
      <c r="AR94" s="180">
        <v>4.1</v>
      </c>
      <c r="AS94" s="124"/>
      <c r="AT94" s="181">
        <f t="shared" si="26"/>
        <v>-4</v>
      </c>
      <c r="AU94" s="182">
        <f t="shared" si="27"/>
        <v>0</v>
      </c>
      <c r="AV94" s="167">
        <f t="shared" si="24"/>
        <v>-4</v>
      </c>
      <c r="AX94" s="453"/>
      <c r="BO94" s="159">
        <v>4.1</v>
      </c>
      <c r="BP94" s="160">
        <f t="shared" si="25"/>
        <v>0</v>
      </c>
      <c r="BQ94" s="131"/>
      <c r="BR94" s="132"/>
      <c r="BS94" s="454"/>
      <c r="BT94" s="455"/>
      <c r="BU94" s="456"/>
      <c r="CY94" s="457"/>
    </row>
    <row r="95" spans="1:103" s="445" customFormat="1" ht="33" customHeight="1">
      <c r="A95" s="445">
        <v>3</v>
      </c>
      <c r="B95" s="446" t="s">
        <v>552</v>
      </c>
      <c r="C95" s="447"/>
      <c r="D95" s="487" t="s">
        <v>580</v>
      </c>
      <c r="E95" s="488"/>
      <c r="F95" s="489" t="s">
        <v>581</v>
      </c>
      <c r="G95" s="339"/>
      <c r="H95" s="339"/>
      <c r="I95" s="339"/>
      <c r="J95" s="339"/>
      <c r="K95" s="448"/>
      <c r="L95" s="448"/>
      <c r="M95" s="339"/>
      <c r="N95" s="343"/>
      <c r="O95" s="343"/>
      <c r="P95" s="343"/>
      <c r="Q95" s="449"/>
      <c r="R95" s="450"/>
      <c r="S95" s="208"/>
      <c r="T95" s="162" t="s">
        <v>330</v>
      </c>
      <c r="U95" s="205">
        <v>165</v>
      </c>
      <c r="V95" s="209"/>
      <c r="W95" s="205">
        <v>1</v>
      </c>
      <c r="X95" s="206">
        <v>2.8</v>
      </c>
      <c r="Y95" s="226">
        <v>2.8</v>
      </c>
      <c r="Z95" s="210"/>
      <c r="AA95" s="168">
        <f t="shared" si="28"/>
        <v>2.8</v>
      </c>
      <c r="AB95" s="168"/>
      <c r="AC95" s="168">
        <f t="shared" si="29"/>
        <v>2.8</v>
      </c>
      <c r="AE95" s="451"/>
      <c r="AI95" s="452"/>
      <c r="AJ95" s="452"/>
      <c r="AM95" s="175">
        <f t="shared" si="30"/>
        <v>0</v>
      </c>
      <c r="AN95" s="176" t="s">
        <v>331</v>
      </c>
      <c r="AO95" s="177"/>
      <c r="AP95" s="189"/>
      <c r="AQ95" s="179"/>
      <c r="AR95" s="180">
        <v>2.8</v>
      </c>
      <c r="AS95" s="124"/>
      <c r="AT95" s="181">
        <f t="shared" si="26"/>
        <v>0</v>
      </c>
      <c r="AU95" s="182">
        <f t="shared" si="27"/>
        <v>0</v>
      </c>
      <c r="AV95" s="167">
        <f t="shared" si="24"/>
        <v>0</v>
      </c>
      <c r="AX95" s="453"/>
      <c r="BO95" s="159">
        <v>2.8</v>
      </c>
      <c r="BP95" s="160">
        <f t="shared" si="25"/>
        <v>0</v>
      </c>
      <c r="BQ95" s="131"/>
      <c r="BR95" s="132"/>
      <c r="BS95" s="454"/>
      <c r="BT95" s="455"/>
      <c r="BU95" s="456"/>
      <c r="CY95" s="457"/>
    </row>
    <row r="96" spans="2:103" s="80" customFormat="1" ht="34.5" customHeight="1">
      <c r="B96" s="111" t="s">
        <v>552</v>
      </c>
      <c r="C96" s="215"/>
      <c r="D96" s="162" t="s">
        <v>582</v>
      </c>
      <c r="E96" s="163" t="s">
        <v>583</v>
      </c>
      <c r="F96" s="490" t="s">
        <v>581</v>
      </c>
      <c r="G96" s="162"/>
      <c r="H96" s="162"/>
      <c r="I96" s="162"/>
      <c r="J96" s="162"/>
      <c r="K96" s="165"/>
      <c r="L96" s="165"/>
      <c r="M96" s="162"/>
      <c r="N96" s="166"/>
      <c r="O96" s="166"/>
      <c r="P96" s="166"/>
      <c r="Q96" s="167"/>
      <c r="R96" s="168"/>
      <c r="S96" s="115"/>
      <c r="T96" s="162" t="s">
        <v>330</v>
      </c>
      <c r="U96" s="169">
        <v>14</v>
      </c>
      <c r="V96" s="170"/>
      <c r="W96" s="169">
        <v>31</v>
      </c>
      <c r="X96" s="193"/>
      <c r="Y96" s="188"/>
      <c r="Z96" s="193">
        <v>7.2</v>
      </c>
      <c r="AA96" s="168"/>
      <c r="AB96" s="168">
        <f>Z96-R96</f>
        <v>7.2</v>
      </c>
      <c r="AC96" s="168">
        <f t="shared" si="29"/>
        <v>7.2</v>
      </c>
      <c r="AE96" s="128"/>
      <c r="AI96" s="174"/>
      <c r="AJ96" s="174"/>
      <c r="AM96" s="175">
        <f t="shared" si="30"/>
        <v>0</v>
      </c>
      <c r="AN96" s="176" t="s">
        <v>331</v>
      </c>
      <c r="AO96" s="177">
        <v>14</v>
      </c>
      <c r="AP96" s="189"/>
      <c r="AQ96" s="179">
        <v>31</v>
      </c>
      <c r="AR96" s="180"/>
      <c r="AS96" s="124">
        <v>7.2</v>
      </c>
      <c r="AT96" s="181">
        <f t="shared" si="26"/>
        <v>0</v>
      </c>
      <c r="AU96" s="182">
        <f t="shared" si="27"/>
        <v>0</v>
      </c>
      <c r="AV96" s="167">
        <f t="shared" si="24"/>
        <v>0</v>
      </c>
      <c r="AX96" s="110"/>
      <c r="BO96" s="159"/>
      <c r="BP96" s="160"/>
      <c r="BQ96" s="330">
        <f>ROUND(AO96*AQ96/60,1)</f>
        <v>7.2</v>
      </c>
      <c r="BR96" s="198"/>
      <c r="BS96" s="221">
        <f>AS96-BQ96</f>
        <v>0</v>
      </c>
      <c r="BT96" s="134"/>
      <c r="BU96" s="331">
        <f>AS96</f>
        <v>7.2</v>
      </c>
      <c r="CY96" s="136"/>
    </row>
    <row r="97" spans="2:103" s="80" customFormat="1" ht="54" customHeight="1">
      <c r="B97" s="111" t="s">
        <v>552</v>
      </c>
      <c r="C97" s="215" t="s">
        <v>552</v>
      </c>
      <c r="D97" s="162" t="s">
        <v>584</v>
      </c>
      <c r="E97" s="163" t="s">
        <v>585</v>
      </c>
      <c r="F97" s="490" t="s">
        <v>586</v>
      </c>
      <c r="G97" s="162" t="s">
        <v>335</v>
      </c>
      <c r="H97" s="162">
        <v>20</v>
      </c>
      <c r="I97" s="162" t="s">
        <v>424</v>
      </c>
      <c r="J97" s="162">
        <v>52</v>
      </c>
      <c r="K97" s="165"/>
      <c r="L97" s="165">
        <v>17.3</v>
      </c>
      <c r="M97" s="162" t="s">
        <v>335</v>
      </c>
      <c r="N97" s="166">
        <v>20</v>
      </c>
      <c r="O97" s="166" t="s">
        <v>424</v>
      </c>
      <c r="P97" s="166">
        <v>52</v>
      </c>
      <c r="Q97" s="167"/>
      <c r="R97" s="168">
        <v>17.3</v>
      </c>
      <c r="S97" s="115"/>
      <c r="T97" s="162" t="s">
        <v>330</v>
      </c>
      <c r="U97" s="169">
        <v>14</v>
      </c>
      <c r="V97" s="170"/>
      <c r="W97" s="169">
        <v>20</v>
      </c>
      <c r="X97" s="193"/>
      <c r="Y97" s="188"/>
      <c r="Z97" s="193">
        <v>4.6</v>
      </c>
      <c r="AA97" s="168"/>
      <c r="AB97" s="168">
        <f>Z97-R97</f>
        <v>-12.700000000000001</v>
      </c>
      <c r="AC97" s="168">
        <f t="shared" si="29"/>
        <v>-12.700000000000001</v>
      </c>
      <c r="AE97" s="128"/>
      <c r="AI97" s="174"/>
      <c r="AJ97" s="174"/>
      <c r="AM97" s="175">
        <f t="shared" si="30"/>
        <v>0</v>
      </c>
      <c r="AN97" s="176" t="s">
        <v>331</v>
      </c>
      <c r="AO97" s="177">
        <v>14</v>
      </c>
      <c r="AP97" s="189" t="s">
        <v>587</v>
      </c>
      <c r="AQ97" s="179">
        <v>20</v>
      </c>
      <c r="AR97" s="180"/>
      <c r="AS97" s="124">
        <v>4.7</v>
      </c>
      <c r="AT97" s="181">
        <f t="shared" si="26"/>
        <v>0</v>
      </c>
      <c r="AU97" s="182">
        <f t="shared" si="27"/>
        <v>0.10000000000000053</v>
      </c>
      <c r="AV97" s="167">
        <f t="shared" si="24"/>
        <v>0.10000000000000053</v>
      </c>
      <c r="AX97" s="110"/>
      <c r="BO97" s="159"/>
      <c r="BP97" s="160"/>
      <c r="BQ97" s="330">
        <f aca="true" t="shared" si="31" ref="BQ97:BQ104">ROUND(AO97*AQ97/60,1)</f>
        <v>4.7</v>
      </c>
      <c r="BR97" s="198"/>
      <c r="BS97" s="221">
        <f aca="true" t="shared" si="32" ref="BS97:BS105">AS97-BQ97</f>
        <v>0</v>
      </c>
      <c r="BT97" s="134"/>
      <c r="BU97" s="331">
        <f aca="true" t="shared" si="33" ref="BU97:BU103">AS97</f>
        <v>4.7</v>
      </c>
      <c r="CY97" s="136"/>
    </row>
    <row r="98" spans="2:103" s="80" customFormat="1" ht="65.25" customHeight="1">
      <c r="B98" s="111" t="s">
        <v>552</v>
      </c>
      <c r="C98" s="215" t="s">
        <v>552</v>
      </c>
      <c r="D98" s="162" t="s">
        <v>588</v>
      </c>
      <c r="E98" s="163" t="s">
        <v>0</v>
      </c>
      <c r="F98" s="490" t="s">
        <v>1</v>
      </c>
      <c r="G98" s="162" t="s">
        <v>335</v>
      </c>
      <c r="H98" s="162">
        <v>25</v>
      </c>
      <c r="I98" s="162" t="s">
        <v>2</v>
      </c>
      <c r="J98" s="162">
        <v>26</v>
      </c>
      <c r="K98" s="165"/>
      <c r="L98" s="165">
        <v>10.8</v>
      </c>
      <c r="M98" s="162" t="s">
        <v>335</v>
      </c>
      <c r="N98" s="166">
        <v>25</v>
      </c>
      <c r="O98" s="166" t="s">
        <v>2</v>
      </c>
      <c r="P98" s="166">
        <v>26</v>
      </c>
      <c r="Q98" s="167"/>
      <c r="R98" s="168">
        <v>10.8</v>
      </c>
      <c r="S98" s="115"/>
      <c r="T98" s="162" t="s">
        <v>330</v>
      </c>
      <c r="U98" s="169">
        <v>25</v>
      </c>
      <c r="V98" s="170"/>
      <c r="W98" s="169">
        <v>23</v>
      </c>
      <c r="X98" s="193"/>
      <c r="Y98" s="188"/>
      <c r="Z98" s="193">
        <v>9.6</v>
      </c>
      <c r="AA98" s="168"/>
      <c r="AB98" s="168">
        <f>Z98-R98</f>
        <v>-1.200000000000001</v>
      </c>
      <c r="AC98" s="168">
        <f t="shared" si="29"/>
        <v>-1.200000000000001</v>
      </c>
      <c r="AE98" s="128"/>
      <c r="AI98" s="174"/>
      <c r="AJ98" s="174"/>
      <c r="AM98" s="175">
        <f t="shared" si="30"/>
        <v>0</v>
      </c>
      <c r="AN98" s="176" t="s">
        <v>331</v>
      </c>
      <c r="AO98" s="177">
        <v>24</v>
      </c>
      <c r="AP98" s="189" t="s">
        <v>3</v>
      </c>
      <c r="AQ98" s="179">
        <v>23</v>
      </c>
      <c r="AR98" s="180"/>
      <c r="AS98" s="124">
        <v>9.2</v>
      </c>
      <c r="AT98" s="181">
        <f t="shared" si="26"/>
        <v>0</v>
      </c>
      <c r="AU98" s="182">
        <f t="shared" si="27"/>
        <v>-0.40000000000000036</v>
      </c>
      <c r="AV98" s="167">
        <f t="shared" si="24"/>
        <v>-0.40000000000000036</v>
      </c>
      <c r="AX98" s="110"/>
      <c r="BO98" s="159"/>
      <c r="BP98" s="160"/>
      <c r="BQ98" s="330">
        <f t="shared" si="31"/>
        <v>9.2</v>
      </c>
      <c r="BR98" s="198"/>
      <c r="BS98" s="221">
        <f t="shared" si="32"/>
        <v>0</v>
      </c>
      <c r="BT98" s="134"/>
      <c r="BU98" s="331">
        <f t="shared" si="33"/>
        <v>9.2</v>
      </c>
      <c r="CY98" s="136"/>
    </row>
    <row r="99" spans="2:103" s="80" customFormat="1" ht="50.25" customHeight="1">
      <c r="B99" s="111" t="s">
        <v>552</v>
      </c>
      <c r="C99" s="215" t="s">
        <v>552</v>
      </c>
      <c r="D99" s="162" t="s">
        <v>4</v>
      </c>
      <c r="E99" s="163" t="s">
        <v>0</v>
      </c>
      <c r="F99" s="490" t="s">
        <v>1</v>
      </c>
      <c r="G99" s="162" t="s">
        <v>335</v>
      </c>
      <c r="H99" s="162">
        <v>25</v>
      </c>
      <c r="I99" s="162" t="s">
        <v>2</v>
      </c>
      <c r="J99" s="162">
        <v>26</v>
      </c>
      <c r="K99" s="165"/>
      <c r="L99" s="165">
        <v>10.8</v>
      </c>
      <c r="M99" s="162" t="s">
        <v>335</v>
      </c>
      <c r="N99" s="166">
        <v>25</v>
      </c>
      <c r="O99" s="166" t="s">
        <v>2</v>
      </c>
      <c r="P99" s="166">
        <v>26</v>
      </c>
      <c r="Q99" s="167"/>
      <c r="R99" s="168">
        <v>10.8</v>
      </c>
      <c r="S99" s="115"/>
      <c r="T99" s="162" t="s">
        <v>330</v>
      </c>
      <c r="U99" s="169">
        <v>22</v>
      </c>
      <c r="V99" s="170"/>
      <c r="W99" s="169">
        <v>24</v>
      </c>
      <c r="X99" s="193"/>
      <c r="Y99" s="188"/>
      <c r="Z99" s="193">
        <v>8.8</v>
      </c>
      <c r="AA99" s="168"/>
      <c r="AB99" s="168">
        <f>Z99-R99</f>
        <v>-2</v>
      </c>
      <c r="AC99" s="168">
        <f t="shared" si="29"/>
        <v>-2</v>
      </c>
      <c r="AE99" s="128"/>
      <c r="AI99" s="174"/>
      <c r="AJ99" s="174"/>
      <c r="AM99" s="175">
        <f t="shared" si="30"/>
        <v>0</v>
      </c>
      <c r="AN99" s="176" t="s">
        <v>331</v>
      </c>
      <c r="AO99" s="177">
        <v>21</v>
      </c>
      <c r="AP99" s="189" t="s">
        <v>3</v>
      </c>
      <c r="AQ99" s="179">
        <v>24</v>
      </c>
      <c r="AR99" s="180"/>
      <c r="AS99" s="124">
        <v>8.4</v>
      </c>
      <c r="AT99" s="181">
        <f t="shared" si="26"/>
        <v>0</v>
      </c>
      <c r="AU99" s="182">
        <f t="shared" si="27"/>
        <v>-0.40000000000000036</v>
      </c>
      <c r="AV99" s="167">
        <f t="shared" si="24"/>
        <v>-0.40000000000000036</v>
      </c>
      <c r="AX99" s="110"/>
      <c r="BO99" s="159"/>
      <c r="BP99" s="160"/>
      <c r="BQ99" s="330">
        <f t="shared" si="31"/>
        <v>8.4</v>
      </c>
      <c r="BR99" s="198"/>
      <c r="BS99" s="221">
        <f t="shared" si="32"/>
        <v>0</v>
      </c>
      <c r="BT99" s="134"/>
      <c r="BU99" s="331">
        <f t="shared" si="33"/>
        <v>8.4</v>
      </c>
      <c r="CY99" s="136"/>
    </row>
    <row r="100" spans="2:103" s="80" customFormat="1" ht="52.5" customHeight="1">
      <c r="B100" s="111" t="s">
        <v>552</v>
      </c>
      <c r="C100" s="215" t="s">
        <v>552</v>
      </c>
      <c r="D100" s="162" t="s">
        <v>5</v>
      </c>
      <c r="E100" s="163" t="s">
        <v>6</v>
      </c>
      <c r="F100" s="224" t="s">
        <v>7</v>
      </c>
      <c r="G100" s="162" t="s">
        <v>335</v>
      </c>
      <c r="H100" s="162"/>
      <c r="I100" s="162"/>
      <c r="J100" s="162"/>
      <c r="K100" s="165"/>
      <c r="L100" s="165">
        <v>78</v>
      </c>
      <c r="M100" s="162" t="s">
        <v>335</v>
      </c>
      <c r="N100" s="166"/>
      <c r="O100" s="166"/>
      <c r="P100" s="166"/>
      <c r="Q100" s="167"/>
      <c r="R100" s="168">
        <v>78</v>
      </c>
      <c r="S100" s="115"/>
      <c r="T100" s="162" t="s">
        <v>330</v>
      </c>
      <c r="U100" s="169"/>
      <c r="V100" s="170"/>
      <c r="W100" s="169"/>
      <c r="X100" s="193"/>
      <c r="Y100" s="188"/>
      <c r="Z100" s="166">
        <v>78</v>
      </c>
      <c r="AA100" s="168"/>
      <c r="AB100" s="168"/>
      <c r="AC100" s="168"/>
      <c r="AE100" s="128"/>
      <c r="AI100" s="174"/>
      <c r="AJ100" s="174"/>
      <c r="AM100" s="175">
        <f t="shared" si="30"/>
        <v>0</v>
      </c>
      <c r="AN100" s="176" t="s">
        <v>331</v>
      </c>
      <c r="AO100" s="177"/>
      <c r="AP100" s="189"/>
      <c r="AQ100" s="179"/>
      <c r="AR100" s="180"/>
      <c r="AS100" s="124">
        <v>68</v>
      </c>
      <c r="AT100" s="181">
        <f t="shared" si="26"/>
        <v>0</v>
      </c>
      <c r="AU100" s="182">
        <f t="shared" si="27"/>
        <v>-10</v>
      </c>
      <c r="AV100" s="167">
        <f t="shared" si="24"/>
        <v>-10</v>
      </c>
      <c r="AX100" s="110"/>
      <c r="BO100" s="159"/>
      <c r="BP100" s="160"/>
      <c r="BQ100" s="330">
        <v>80</v>
      </c>
      <c r="BR100" s="198"/>
      <c r="BS100" s="221">
        <f>AS100</f>
        <v>68</v>
      </c>
      <c r="BT100" s="134"/>
      <c r="BU100" s="331"/>
      <c r="CY100" s="136"/>
    </row>
    <row r="101" spans="2:103" s="80" customFormat="1" ht="60" customHeight="1">
      <c r="B101" s="111" t="s">
        <v>552</v>
      </c>
      <c r="C101" s="215" t="s">
        <v>552</v>
      </c>
      <c r="D101" s="162" t="s">
        <v>8</v>
      </c>
      <c r="E101" s="163" t="s">
        <v>9</v>
      </c>
      <c r="F101" s="224" t="s">
        <v>7</v>
      </c>
      <c r="G101" s="162" t="s">
        <v>335</v>
      </c>
      <c r="H101" s="162"/>
      <c r="I101" s="162"/>
      <c r="J101" s="162"/>
      <c r="K101" s="165"/>
      <c r="L101" s="165">
        <v>1528.5</v>
      </c>
      <c r="M101" s="162" t="s">
        <v>335</v>
      </c>
      <c r="N101" s="166"/>
      <c r="O101" s="166"/>
      <c r="P101" s="166"/>
      <c r="Q101" s="167"/>
      <c r="R101" s="168">
        <f>1528.5-25.3</f>
        <v>1503.2</v>
      </c>
      <c r="S101" s="115"/>
      <c r="T101" s="162" t="s">
        <v>330</v>
      </c>
      <c r="U101" s="169"/>
      <c r="V101" s="170"/>
      <c r="W101" s="169"/>
      <c r="X101" s="193"/>
      <c r="Y101" s="188"/>
      <c r="Z101" s="166">
        <v>214.8</v>
      </c>
      <c r="AA101" s="168"/>
      <c r="AB101" s="168">
        <f>Z101-R101</f>
        <v>-1288.4</v>
      </c>
      <c r="AC101" s="168">
        <f>AB101+AA101</f>
        <v>-1288.4</v>
      </c>
      <c r="AE101" s="128"/>
      <c r="AI101" s="174"/>
      <c r="AJ101" s="174"/>
      <c r="AM101" s="175">
        <f t="shared" si="30"/>
        <v>0</v>
      </c>
      <c r="AN101" s="176" t="s">
        <v>331</v>
      </c>
      <c r="AO101" s="177"/>
      <c r="AP101" s="189"/>
      <c r="AQ101" s="179"/>
      <c r="AR101" s="180"/>
      <c r="AS101" s="124">
        <f>186.7-AS100</f>
        <v>118.69999999999999</v>
      </c>
      <c r="AT101" s="181">
        <f t="shared" si="26"/>
        <v>0</v>
      </c>
      <c r="AU101" s="182">
        <f t="shared" si="27"/>
        <v>-96.10000000000002</v>
      </c>
      <c r="AV101" s="167">
        <f t="shared" si="24"/>
        <v>-96.10000000000002</v>
      </c>
      <c r="AX101" s="110"/>
      <c r="BO101" s="159"/>
      <c r="BP101" s="160"/>
      <c r="BQ101" s="330">
        <v>106.7</v>
      </c>
      <c r="BR101" s="198" t="s">
        <v>10</v>
      </c>
      <c r="BS101" s="221">
        <f>AS101</f>
        <v>118.69999999999999</v>
      </c>
      <c r="BT101" s="134"/>
      <c r="BU101" s="135"/>
      <c r="CY101" s="136"/>
    </row>
    <row r="102" spans="1:103" ht="60.75" customHeight="1">
      <c r="A102" s="337" t="s">
        <v>552</v>
      </c>
      <c r="B102" s="337" t="s">
        <v>552</v>
      </c>
      <c r="C102" s="338" t="s">
        <v>552</v>
      </c>
      <c r="D102" s="162" t="s">
        <v>11</v>
      </c>
      <c r="E102" s="352" t="s">
        <v>12</v>
      </c>
      <c r="F102" s="224" t="s">
        <v>7</v>
      </c>
      <c r="G102" s="339"/>
      <c r="H102" s="340"/>
      <c r="I102" s="339"/>
      <c r="J102" s="353"/>
      <c r="K102" s="353"/>
      <c r="L102" s="342"/>
      <c r="M102" s="339" t="s">
        <v>330</v>
      </c>
      <c r="N102" s="269">
        <v>50</v>
      </c>
      <c r="O102" s="343" t="s">
        <v>397</v>
      </c>
      <c r="P102" s="269">
        <v>48</v>
      </c>
      <c r="Q102" s="187"/>
      <c r="R102" s="334">
        <v>40</v>
      </c>
      <c r="S102" s="362">
        <f>R102</f>
        <v>40</v>
      </c>
      <c r="T102" s="162" t="s">
        <v>330</v>
      </c>
      <c r="U102" s="491">
        <v>50</v>
      </c>
      <c r="V102" s="170" t="s">
        <v>397</v>
      </c>
      <c r="W102" s="491">
        <v>91</v>
      </c>
      <c r="X102" s="492"/>
      <c r="Y102" s="364"/>
      <c r="Z102" s="492">
        <v>75.8</v>
      </c>
      <c r="AA102" s="168"/>
      <c r="AB102" s="168">
        <f>Z102-R102</f>
        <v>35.8</v>
      </c>
      <c r="AC102" s="168">
        <f>AB102+AA102</f>
        <v>35.8</v>
      </c>
      <c r="AM102" s="175">
        <f t="shared" si="30"/>
        <v>0</v>
      </c>
      <c r="AN102" s="176" t="s">
        <v>331</v>
      </c>
      <c r="AO102" s="177">
        <v>51</v>
      </c>
      <c r="AP102" s="178" t="s">
        <v>13</v>
      </c>
      <c r="AQ102" s="179">
        <v>110</v>
      </c>
      <c r="AR102" s="349"/>
      <c r="AS102" s="124">
        <v>93.5</v>
      </c>
      <c r="AT102" s="181">
        <f t="shared" si="26"/>
        <v>0</v>
      </c>
      <c r="AU102" s="182">
        <f t="shared" si="27"/>
        <v>17.700000000000003</v>
      </c>
      <c r="AV102" s="167">
        <f t="shared" si="24"/>
        <v>17.700000000000003</v>
      </c>
      <c r="AX102" s="49"/>
      <c r="BO102" s="159"/>
      <c r="BP102" s="160"/>
      <c r="BQ102" s="330">
        <f t="shared" si="31"/>
        <v>93.5</v>
      </c>
      <c r="BR102" s="198"/>
      <c r="BS102" s="221">
        <f t="shared" si="32"/>
        <v>0</v>
      </c>
      <c r="BU102" s="331">
        <f t="shared" si="33"/>
        <v>93.5</v>
      </c>
      <c r="CY102" s="351"/>
    </row>
    <row r="103" spans="2:103" s="80" customFormat="1" ht="48.75" customHeight="1">
      <c r="B103" s="111" t="s">
        <v>552</v>
      </c>
      <c r="C103" s="215"/>
      <c r="D103" s="162" t="s">
        <v>14</v>
      </c>
      <c r="E103" s="163" t="s">
        <v>15</v>
      </c>
      <c r="F103" s="490" t="s">
        <v>16</v>
      </c>
      <c r="G103" s="162"/>
      <c r="H103" s="162"/>
      <c r="I103" s="162"/>
      <c r="J103" s="162"/>
      <c r="K103" s="165"/>
      <c r="L103" s="165"/>
      <c r="M103" s="162"/>
      <c r="N103" s="166"/>
      <c r="O103" s="166"/>
      <c r="P103" s="166"/>
      <c r="Q103" s="167"/>
      <c r="R103" s="168"/>
      <c r="S103" s="115"/>
      <c r="T103" s="162" t="s">
        <v>330</v>
      </c>
      <c r="U103" s="169">
        <f>Z103/W103*60</f>
        <v>25.76470588235294</v>
      </c>
      <c r="V103" s="170"/>
      <c r="W103" s="169">
        <v>17</v>
      </c>
      <c r="X103" s="193"/>
      <c r="Y103" s="188"/>
      <c r="Z103" s="193">
        <v>7.3</v>
      </c>
      <c r="AA103" s="168"/>
      <c r="AB103" s="168">
        <f>Z103-R103</f>
        <v>7.3</v>
      </c>
      <c r="AC103" s="168">
        <f>AB103+AA103</f>
        <v>7.3</v>
      </c>
      <c r="AE103" s="128"/>
      <c r="AI103" s="174"/>
      <c r="AJ103" s="174"/>
      <c r="AM103" s="175">
        <f t="shared" si="30"/>
        <v>0</v>
      </c>
      <c r="AN103" s="176" t="s">
        <v>331</v>
      </c>
      <c r="AO103" s="177">
        <v>25</v>
      </c>
      <c r="AP103" s="189"/>
      <c r="AQ103" s="179">
        <v>25</v>
      </c>
      <c r="AR103" s="180"/>
      <c r="AS103" s="124">
        <v>10.4</v>
      </c>
      <c r="AT103" s="181">
        <f t="shared" si="26"/>
        <v>0</v>
      </c>
      <c r="AU103" s="182">
        <f t="shared" si="27"/>
        <v>3.1000000000000005</v>
      </c>
      <c r="AV103" s="167">
        <f t="shared" si="24"/>
        <v>3.1000000000000005</v>
      </c>
      <c r="AX103" s="110"/>
      <c r="BO103" s="159"/>
      <c r="BP103" s="160"/>
      <c r="BQ103" s="330">
        <f t="shared" si="31"/>
        <v>10.4</v>
      </c>
      <c r="BR103" s="198"/>
      <c r="BS103" s="221">
        <f t="shared" si="32"/>
        <v>0</v>
      </c>
      <c r="BT103" s="134"/>
      <c r="BU103" s="331">
        <f t="shared" si="33"/>
        <v>10.4</v>
      </c>
      <c r="CY103" s="136"/>
    </row>
    <row r="104" spans="2:103" s="80" customFormat="1" ht="48.75" customHeight="1" hidden="1">
      <c r="B104" s="111"/>
      <c r="C104" s="215"/>
      <c r="D104" s="162" t="s">
        <v>17</v>
      </c>
      <c r="E104" s="163"/>
      <c r="F104" s="490"/>
      <c r="G104" s="162"/>
      <c r="H104" s="162"/>
      <c r="I104" s="162"/>
      <c r="J104" s="162"/>
      <c r="K104" s="165"/>
      <c r="L104" s="165"/>
      <c r="M104" s="162"/>
      <c r="N104" s="166"/>
      <c r="O104" s="166"/>
      <c r="P104" s="166"/>
      <c r="Q104" s="167"/>
      <c r="R104" s="168"/>
      <c r="S104" s="115"/>
      <c r="T104" s="162"/>
      <c r="U104" s="169"/>
      <c r="V104" s="170"/>
      <c r="W104" s="169"/>
      <c r="X104" s="193"/>
      <c r="Y104" s="188"/>
      <c r="Z104" s="193"/>
      <c r="AA104" s="168"/>
      <c r="AB104" s="168"/>
      <c r="AC104" s="168"/>
      <c r="AE104" s="128"/>
      <c r="AI104" s="174"/>
      <c r="AJ104" s="174"/>
      <c r="AM104" s="175"/>
      <c r="AN104" s="176" t="s">
        <v>331</v>
      </c>
      <c r="AO104" s="177"/>
      <c r="AP104" s="189"/>
      <c r="AQ104" s="179"/>
      <c r="AR104" s="180"/>
      <c r="AS104" s="124"/>
      <c r="AT104" s="181">
        <f t="shared" si="26"/>
        <v>0</v>
      </c>
      <c r="AU104" s="182">
        <f t="shared" si="27"/>
        <v>0</v>
      </c>
      <c r="AV104" s="167">
        <f t="shared" si="24"/>
        <v>0</v>
      </c>
      <c r="AX104" s="110"/>
      <c r="BO104" s="159"/>
      <c r="BP104" s="160"/>
      <c r="BQ104" s="330">
        <f t="shared" si="31"/>
        <v>0</v>
      </c>
      <c r="BR104" s="198"/>
      <c r="BS104" s="221">
        <f t="shared" si="32"/>
        <v>0</v>
      </c>
      <c r="BT104" s="134"/>
      <c r="BU104" s="135"/>
      <c r="CY104" s="136"/>
    </row>
    <row r="105" spans="2:103" s="389" customFormat="1" ht="39.75" customHeight="1">
      <c r="B105" s="378"/>
      <c r="C105" s="379"/>
      <c r="D105" s="381" t="s">
        <v>549</v>
      </c>
      <c r="E105" s="380"/>
      <c r="F105" s="380"/>
      <c r="G105" s="381"/>
      <c r="H105" s="381"/>
      <c r="I105" s="381"/>
      <c r="J105" s="381"/>
      <c r="K105" s="382"/>
      <c r="L105" s="382">
        <v>40.7</v>
      </c>
      <c r="M105" s="381"/>
      <c r="N105" s="383"/>
      <c r="O105" s="383"/>
      <c r="P105" s="383"/>
      <c r="Q105" s="384"/>
      <c r="R105" s="384">
        <v>26</v>
      </c>
      <c r="S105" s="493"/>
      <c r="T105" s="494"/>
      <c r="U105" s="495"/>
      <c r="V105" s="494"/>
      <c r="W105" s="495"/>
      <c r="X105" s="496"/>
      <c r="Y105" s="497"/>
      <c r="Z105" s="383">
        <f>110.9-12</f>
        <v>98.9</v>
      </c>
      <c r="AA105" s="168"/>
      <c r="AB105" s="168">
        <f>Z105-R105</f>
        <v>72.9</v>
      </c>
      <c r="AC105" s="168">
        <f>AB105+AA105</f>
        <v>72.9</v>
      </c>
      <c r="AD105" s="498"/>
      <c r="AE105" s="390"/>
      <c r="AI105" s="391"/>
      <c r="AJ105" s="391"/>
      <c r="AM105" s="175">
        <f t="shared" si="30"/>
        <v>0</v>
      </c>
      <c r="AN105" s="176"/>
      <c r="AO105" s="177"/>
      <c r="AP105" s="189"/>
      <c r="AQ105" s="179"/>
      <c r="AR105" s="392"/>
      <c r="AS105" s="124">
        <v>98.4</v>
      </c>
      <c r="AT105" s="181">
        <f t="shared" si="26"/>
        <v>0</v>
      </c>
      <c r="AU105" s="182">
        <f t="shared" si="27"/>
        <v>-0.5</v>
      </c>
      <c r="AV105" s="167">
        <f t="shared" si="24"/>
        <v>-0.5</v>
      </c>
      <c r="AX105" s="377"/>
      <c r="AZ105" s="389">
        <f>Z105</f>
        <v>98.9</v>
      </c>
      <c r="BD105" s="393">
        <f>R105</f>
        <v>26</v>
      </c>
      <c r="BO105" s="159"/>
      <c r="BP105" s="160"/>
      <c r="BQ105" s="330">
        <v>98.4</v>
      </c>
      <c r="BR105" s="198"/>
      <c r="BS105" s="221">
        <f t="shared" si="32"/>
        <v>0</v>
      </c>
      <c r="BT105" s="394">
        <f>AS105</f>
        <v>98.4</v>
      </c>
      <c r="BU105" s="395"/>
      <c r="CY105" s="396"/>
    </row>
    <row r="106" spans="2:103" s="409" customFormat="1" ht="37.5" customHeight="1">
      <c r="B106" s="499"/>
      <c r="C106" s="500"/>
      <c r="D106" s="501" t="s">
        <v>550</v>
      </c>
      <c r="E106" s="380"/>
      <c r="F106" s="380"/>
      <c r="G106" s="501"/>
      <c r="H106" s="501"/>
      <c r="I106" s="501"/>
      <c r="J106" s="501">
        <f>SUM(J85:J105)</f>
        <v>174</v>
      </c>
      <c r="K106" s="502">
        <f>SUM(K85:K105)</f>
        <v>44</v>
      </c>
      <c r="L106" s="502">
        <f>SUM(L85:L105)</f>
        <v>1686.1000000000001</v>
      </c>
      <c r="M106" s="501"/>
      <c r="N106" s="193"/>
      <c r="O106" s="193"/>
      <c r="P106" s="193"/>
      <c r="Q106" s="167">
        <f>SUM(Q85:Q105)</f>
        <v>38</v>
      </c>
      <c r="R106" s="167">
        <f>SUM(R85:R105)</f>
        <v>1686.1000000000001</v>
      </c>
      <c r="S106" s="503"/>
      <c r="T106" s="504"/>
      <c r="U106" s="505"/>
      <c r="V106" s="504"/>
      <c r="W106" s="505"/>
      <c r="X106" s="167">
        <f>SUM(X85:X105)</f>
        <v>130.39999999999998</v>
      </c>
      <c r="Y106" s="167">
        <f>SUM(Y85:Y105)</f>
        <v>130.39999999999998</v>
      </c>
      <c r="Z106" s="167">
        <f>SUM(Z85:Z105)</f>
        <v>505</v>
      </c>
      <c r="AA106" s="167">
        <f>X106-Q106</f>
        <v>92.39999999999998</v>
      </c>
      <c r="AB106" s="167">
        <f>Z106-R106</f>
        <v>-1181.1000000000001</v>
      </c>
      <c r="AC106" s="167">
        <f>AB106+AA106</f>
        <v>-1088.7000000000003</v>
      </c>
      <c r="AD106" s="410"/>
      <c r="AE106" s="410"/>
      <c r="AI106" s="411"/>
      <c r="AJ106" s="411"/>
      <c r="AM106" s="175">
        <f t="shared" si="30"/>
        <v>0</v>
      </c>
      <c r="AN106" s="176"/>
      <c r="AO106" s="177"/>
      <c r="AP106" s="189"/>
      <c r="AQ106" s="179"/>
      <c r="AR106" s="180">
        <f>SUM(AR85:AR105)</f>
        <v>126.09999999999998</v>
      </c>
      <c r="AS106" s="180">
        <f>SUM(AS85:AS105)</f>
        <v>418.5</v>
      </c>
      <c r="AT106" s="124">
        <f t="shared" si="26"/>
        <v>-4.299999999999997</v>
      </c>
      <c r="AU106" s="506">
        <f t="shared" si="27"/>
        <v>-86.5</v>
      </c>
      <c r="AV106" s="167">
        <f t="shared" si="24"/>
        <v>-90.8</v>
      </c>
      <c r="AX106" s="419">
        <f>X106</f>
        <v>130.39999999999998</v>
      </c>
      <c r="AZ106" s="420">
        <f>Z106</f>
        <v>505</v>
      </c>
      <c r="BA106" s="420">
        <f>AX106+AZ106</f>
        <v>635.4</v>
      </c>
      <c r="BB106" s="421">
        <f>Q106</f>
        <v>38</v>
      </c>
      <c r="BC106" s="421">
        <f>R106</f>
        <v>1686.1000000000001</v>
      </c>
      <c r="BD106" s="422">
        <f>Q106+R106</f>
        <v>1724.1000000000001</v>
      </c>
      <c r="BE106" s="422">
        <f>BA106-BD106</f>
        <v>-1088.7000000000003</v>
      </c>
      <c r="BO106" s="159"/>
      <c r="BP106" s="160"/>
      <c r="BQ106" s="131"/>
      <c r="BR106" s="132"/>
      <c r="BS106" s="423">
        <f>SUM(BS85:BS105)</f>
        <v>186.7</v>
      </c>
      <c r="BT106" s="423">
        <f>SUM(BT85:BT105)</f>
        <v>98.4</v>
      </c>
      <c r="BU106" s="423">
        <f>SUM(BU85:BU105)</f>
        <v>133.4</v>
      </c>
      <c r="CY106" s="424"/>
    </row>
    <row r="107" spans="2:73" s="80" customFormat="1" ht="39" customHeight="1">
      <c r="B107" s="111"/>
      <c r="C107" s="507"/>
      <c r="D107" s="428" t="s">
        <v>18</v>
      </c>
      <c r="E107" s="428"/>
      <c r="F107" s="428"/>
      <c r="G107" s="428"/>
      <c r="H107" s="428"/>
      <c r="I107" s="428"/>
      <c r="J107" s="428"/>
      <c r="K107" s="428"/>
      <c r="L107" s="428"/>
      <c r="M107" s="429"/>
      <c r="N107" s="429"/>
      <c r="O107" s="429"/>
      <c r="P107" s="429"/>
      <c r="Q107" s="429"/>
      <c r="R107" s="429"/>
      <c r="S107" s="115"/>
      <c r="T107" s="170"/>
      <c r="U107" s="169"/>
      <c r="V107" s="170"/>
      <c r="W107" s="169"/>
      <c r="X107" s="193"/>
      <c r="Y107" s="188"/>
      <c r="Z107" s="166"/>
      <c r="AA107" s="168"/>
      <c r="AB107" s="168"/>
      <c r="AC107" s="168"/>
      <c r="AD107" s="110"/>
      <c r="AE107" s="110"/>
      <c r="AF107" s="110"/>
      <c r="AG107" s="110"/>
      <c r="AH107" s="110"/>
      <c r="AI107" s="121"/>
      <c r="AJ107" s="121"/>
      <c r="AK107" s="110"/>
      <c r="AL107" s="110"/>
      <c r="AM107" s="122">
        <f aca="true" t="shared" si="34" ref="AM107:AM118">X107-Y107</f>
        <v>0</v>
      </c>
      <c r="AN107" s="176"/>
      <c r="AO107" s="177"/>
      <c r="AP107" s="189"/>
      <c r="AQ107" s="179"/>
      <c r="AR107" s="180"/>
      <c r="AS107" s="124"/>
      <c r="AT107" s="181">
        <f t="shared" si="26"/>
        <v>0</v>
      </c>
      <c r="AU107" s="181">
        <f t="shared" si="27"/>
        <v>0</v>
      </c>
      <c r="AV107" s="167">
        <f t="shared" si="24"/>
        <v>0</v>
      </c>
      <c r="AX107" s="110"/>
      <c r="BO107" s="159">
        <f aca="true" t="shared" si="35" ref="BO107:BO142">ROUND(AO107*AQ107/60,1)</f>
        <v>0</v>
      </c>
      <c r="BP107" s="160">
        <f t="shared" si="25"/>
        <v>0</v>
      </c>
      <c r="BQ107" s="131"/>
      <c r="BR107" s="132"/>
      <c r="BS107" s="133"/>
      <c r="BT107" s="134"/>
      <c r="BU107" s="135"/>
    </row>
    <row r="108" spans="1:73" s="80" customFormat="1" ht="186.75" customHeight="1">
      <c r="A108" s="80">
        <v>8</v>
      </c>
      <c r="B108" s="111" t="s">
        <v>470</v>
      </c>
      <c r="C108" s="431" t="s">
        <v>470</v>
      </c>
      <c r="D108" s="139" t="s">
        <v>19</v>
      </c>
      <c r="E108" s="140" t="s">
        <v>20</v>
      </c>
      <c r="F108" s="508" t="s">
        <v>21</v>
      </c>
      <c r="G108" s="139" t="s">
        <v>335</v>
      </c>
      <c r="H108" s="139">
        <v>25</v>
      </c>
      <c r="I108" s="139" t="s">
        <v>424</v>
      </c>
      <c r="J108" s="139">
        <v>52</v>
      </c>
      <c r="K108" s="433">
        <v>21.7</v>
      </c>
      <c r="L108" s="433"/>
      <c r="M108" s="139" t="s">
        <v>335</v>
      </c>
      <c r="N108" s="434">
        <v>25</v>
      </c>
      <c r="O108" s="434" t="s">
        <v>424</v>
      </c>
      <c r="P108" s="509">
        <f>8+2+39</f>
        <v>49</v>
      </c>
      <c r="Q108" s="510">
        <f>ROUND(N108*P108/60,1)</f>
        <v>20.4</v>
      </c>
      <c r="R108" s="511"/>
      <c r="S108" s="512">
        <f aca="true" t="shared" si="36" ref="S108:S117">Q108-K108</f>
        <v>-1.3000000000000007</v>
      </c>
      <c r="T108" s="139" t="s">
        <v>330</v>
      </c>
      <c r="U108" s="509">
        <v>25</v>
      </c>
      <c r="V108" s="438" t="s">
        <v>377</v>
      </c>
      <c r="W108" s="509">
        <v>45</v>
      </c>
      <c r="X108" s="510">
        <v>18.8</v>
      </c>
      <c r="Y108" s="440">
        <f>ROUND(U108*W108/60,1)</f>
        <v>18.8</v>
      </c>
      <c r="Z108" s="513"/>
      <c r="AA108" s="435">
        <f aca="true" t="shared" si="37" ref="AA108:AA131">X108-Q108</f>
        <v>-1.5999999999999979</v>
      </c>
      <c r="AB108" s="435"/>
      <c r="AC108" s="435">
        <f aca="true" t="shared" si="38" ref="AC108:AC118">AB108+AA108</f>
        <v>-1.5999999999999979</v>
      </c>
      <c r="AE108" s="128"/>
      <c r="AI108" s="174"/>
      <c r="AJ108" s="174"/>
      <c r="AM108" s="175">
        <f t="shared" si="34"/>
        <v>0</v>
      </c>
      <c r="AN108" s="441" t="s">
        <v>331</v>
      </c>
      <c r="AO108" s="442">
        <v>22.5</v>
      </c>
      <c r="AP108" s="443" t="s">
        <v>22</v>
      </c>
      <c r="AQ108" s="444">
        <v>48</v>
      </c>
      <c r="AR108" s="152">
        <v>18</v>
      </c>
      <c r="AS108" s="155"/>
      <c r="AT108" s="156">
        <f t="shared" si="26"/>
        <v>-0.8000000000000007</v>
      </c>
      <c r="AU108" s="157">
        <f t="shared" si="27"/>
        <v>0</v>
      </c>
      <c r="AV108" s="158">
        <f t="shared" si="24"/>
        <v>-0.8000000000000007</v>
      </c>
      <c r="AX108" s="110"/>
      <c r="BO108" s="159">
        <f t="shared" si="35"/>
        <v>18</v>
      </c>
      <c r="BP108" s="160">
        <f t="shared" si="25"/>
        <v>0</v>
      </c>
      <c r="BQ108" s="131"/>
      <c r="BR108" s="132"/>
      <c r="BS108" s="133"/>
      <c r="BT108" s="134"/>
      <c r="BU108" s="135"/>
    </row>
    <row r="109" spans="1:73" s="80" customFormat="1" ht="145.5" customHeight="1">
      <c r="A109" s="80">
        <v>1</v>
      </c>
      <c r="B109" s="111" t="s">
        <v>470</v>
      </c>
      <c r="C109" s="215" t="s">
        <v>470</v>
      </c>
      <c r="D109" s="162" t="s">
        <v>23</v>
      </c>
      <c r="E109" s="163" t="s">
        <v>24</v>
      </c>
      <c r="F109" s="514" t="s">
        <v>25</v>
      </c>
      <c r="G109" s="162" t="s">
        <v>335</v>
      </c>
      <c r="H109" s="162">
        <v>40</v>
      </c>
      <c r="I109" s="162" t="s">
        <v>377</v>
      </c>
      <c r="J109" s="162">
        <v>52</v>
      </c>
      <c r="K109" s="165">
        <v>34.7</v>
      </c>
      <c r="L109" s="165"/>
      <c r="M109" s="162" t="s">
        <v>335</v>
      </c>
      <c r="N109" s="166">
        <v>40</v>
      </c>
      <c r="O109" s="166" t="s">
        <v>377</v>
      </c>
      <c r="P109" s="515">
        <v>52</v>
      </c>
      <c r="Q109" s="167">
        <v>34.7</v>
      </c>
      <c r="R109" s="168"/>
      <c r="S109" s="208">
        <f t="shared" si="36"/>
        <v>0</v>
      </c>
      <c r="T109" s="162" t="s">
        <v>330</v>
      </c>
      <c r="U109" s="169">
        <v>30</v>
      </c>
      <c r="V109" s="170" t="s">
        <v>377</v>
      </c>
      <c r="W109" s="205">
        <v>42</v>
      </c>
      <c r="X109" s="206">
        <v>21</v>
      </c>
      <c r="Y109" s="172">
        <f>ROUND(U109*W109/60,1)</f>
        <v>21</v>
      </c>
      <c r="Z109" s="210"/>
      <c r="AA109" s="168">
        <f t="shared" si="37"/>
        <v>-13.700000000000003</v>
      </c>
      <c r="AB109" s="168"/>
      <c r="AC109" s="168">
        <f t="shared" si="38"/>
        <v>-13.700000000000003</v>
      </c>
      <c r="AE109" s="128"/>
      <c r="AI109" s="133" t="s">
        <v>26</v>
      </c>
      <c r="AJ109" s="174"/>
      <c r="AM109" s="175">
        <f t="shared" si="34"/>
        <v>0</v>
      </c>
      <c r="AN109" s="176" t="s">
        <v>331</v>
      </c>
      <c r="AO109" s="177">
        <v>28</v>
      </c>
      <c r="AP109" s="189" t="s">
        <v>27</v>
      </c>
      <c r="AQ109" s="179">
        <v>39</v>
      </c>
      <c r="AR109" s="180">
        <v>18.2</v>
      </c>
      <c r="AS109" s="124"/>
      <c r="AT109" s="181">
        <f t="shared" si="26"/>
        <v>-2.8000000000000007</v>
      </c>
      <c r="AU109" s="182">
        <f t="shared" si="27"/>
        <v>0</v>
      </c>
      <c r="AV109" s="167">
        <f t="shared" si="24"/>
        <v>-2.8000000000000007</v>
      </c>
      <c r="AX109" s="110"/>
      <c r="BO109" s="159">
        <f t="shared" si="35"/>
        <v>18.2</v>
      </c>
      <c r="BP109" s="160">
        <f t="shared" si="25"/>
        <v>0</v>
      </c>
      <c r="BQ109" s="131"/>
      <c r="BR109" s="132"/>
      <c r="BS109" s="133"/>
      <c r="BT109" s="134"/>
      <c r="BU109" s="135"/>
    </row>
    <row r="110" spans="1:73" s="80" customFormat="1" ht="148.5" customHeight="1">
      <c r="A110" s="80">
        <v>8</v>
      </c>
      <c r="B110" s="111" t="s">
        <v>470</v>
      </c>
      <c r="C110" s="215" t="s">
        <v>470</v>
      </c>
      <c r="D110" s="162" t="s">
        <v>28</v>
      </c>
      <c r="E110" s="163" t="s">
        <v>29</v>
      </c>
      <c r="F110" s="514" t="s">
        <v>30</v>
      </c>
      <c r="G110" s="162" t="s">
        <v>335</v>
      </c>
      <c r="H110" s="162">
        <v>30</v>
      </c>
      <c r="I110" s="162" t="s">
        <v>339</v>
      </c>
      <c r="J110" s="162">
        <v>260</v>
      </c>
      <c r="K110" s="165">
        <v>130</v>
      </c>
      <c r="L110" s="165"/>
      <c r="M110" s="162" t="s">
        <v>335</v>
      </c>
      <c r="N110" s="166">
        <v>30</v>
      </c>
      <c r="O110" s="166" t="s">
        <v>339</v>
      </c>
      <c r="P110" s="205">
        <f>42+8+5*37</f>
        <v>235</v>
      </c>
      <c r="Q110" s="206">
        <f>ROUND(N110*P110/60,1)</f>
        <v>117.5</v>
      </c>
      <c r="R110" s="207"/>
      <c r="S110" s="208">
        <f t="shared" si="36"/>
        <v>-12.5</v>
      </c>
      <c r="T110" s="162" t="s">
        <v>330</v>
      </c>
      <c r="U110" s="205">
        <v>30</v>
      </c>
      <c r="V110" s="170" t="s">
        <v>339</v>
      </c>
      <c r="W110" s="205">
        <v>204</v>
      </c>
      <c r="X110" s="206">
        <v>102</v>
      </c>
      <c r="Y110" s="172">
        <f>ROUND(U110*W110/60,1)</f>
        <v>102</v>
      </c>
      <c r="Z110" s="210"/>
      <c r="AA110" s="168">
        <f t="shared" si="37"/>
        <v>-15.5</v>
      </c>
      <c r="AB110" s="168"/>
      <c r="AC110" s="168">
        <f t="shared" si="38"/>
        <v>-15.5</v>
      </c>
      <c r="AE110" s="128"/>
      <c r="AI110" s="174"/>
      <c r="AJ110" s="174"/>
      <c r="AM110" s="175">
        <f t="shared" si="34"/>
        <v>0</v>
      </c>
      <c r="AN110" s="176" t="s">
        <v>331</v>
      </c>
      <c r="AO110" s="177">
        <v>26.5</v>
      </c>
      <c r="AP110" s="189" t="s">
        <v>31</v>
      </c>
      <c r="AQ110" s="179">
        <v>228</v>
      </c>
      <c r="AR110" s="180">
        <v>100.7</v>
      </c>
      <c r="AS110" s="124"/>
      <c r="AT110" s="181">
        <f t="shared" si="26"/>
        <v>-1.2999999999999972</v>
      </c>
      <c r="AU110" s="182">
        <f t="shared" si="27"/>
        <v>0</v>
      </c>
      <c r="AV110" s="167">
        <f t="shared" si="24"/>
        <v>-1.2999999999999972</v>
      </c>
      <c r="AX110" s="110"/>
      <c r="BO110" s="159">
        <f t="shared" si="35"/>
        <v>100.7</v>
      </c>
      <c r="BP110" s="160">
        <f t="shared" si="25"/>
        <v>0</v>
      </c>
      <c r="BQ110" s="131"/>
      <c r="BR110" s="132"/>
      <c r="BS110" s="133"/>
      <c r="BT110" s="134"/>
      <c r="BU110" s="135"/>
    </row>
    <row r="111" spans="1:73" s="80" customFormat="1" ht="120.75" customHeight="1">
      <c r="A111" s="80">
        <v>2</v>
      </c>
      <c r="B111" s="111" t="s">
        <v>470</v>
      </c>
      <c r="C111" s="215" t="s">
        <v>470</v>
      </c>
      <c r="D111" s="162" t="s">
        <v>32</v>
      </c>
      <c r="E111" s="227" t="s">
        <v>33</v>
      </c>
      <c r="F111" s="514" t="s">
        <v>34</v>
      </c>
      <c r="G111" s="162" t="s">
        <v>335</v>
      </c>
      <c r="H111" s="271" t="s">
        <v>35</v>
      </c>
      <c r="I111" s="516" t="s">
        <v>377</v>
      </c>
      <c r="J111" s="271">
        <v>48</v>
      </c>
      <c r="K111" s="517">
        <v>28</v>
      </c>
      <c r="L111" s="165"/>
      <c r="M111" s="162" t="s">
        <v>335</v>
      </c>
      <c r="N111" s="166">
        <v>35</v>
      </c>
      <c r="O111" s="166" t="s">
        <v>377</v>
      </c>
      <c r="P111" s="205">
        <v>48</v>
      </c>
      <c r="Q111" s="206">
        <v>28</v>
      </c>
      <c r="R111" s="168"/>
      <c r="S111" s="208">
        <f t="shared" si="36"/>
        <v>0</v>
      </c>
      <c r="T111" s="162" t="s">
        <v>330</v>
      </c>
      <c r="U111" s="205">
        <v>33</v>
      </c>
      <c r="V111" s="170" t="s">
        <v>377</v>
      </c>
      <c r="W111" s="205">
        <v>49</v>
      </c>
      <c r="X111" s="206">
        <v>27</v>
      </c>
      <c r="Y111" s="172">
        <f>ROUND(U111*W111/60,1)</f>
        <v>27</v>
      </c>
      <c r="Z111" s="210"/>
      <c r="AA111" s="168">
        <f t="shared" si="37"/>
        <v>-1</v>
      </c>
      <c r="AB111" s="168"/>
      <c r="AC111" s="168">
        <f t="shared" si="38"/>
        <v>-1</v>
      </c>
      <c r="AE111" s="128"/>
      <c r="AI111" s="174"/>
      <c r="AJ111" s="174"/>
      <c r="AM111" s="175">
        <f t="shared" si="34"/>
        <v>0</v>
      </c>
      <c r="AN111" s="176" t="s">
        <v>331</v>
      </c>
      <c r="AO111" s="177">
        <v>32.5</v>
      </c>
      <c r="AP111" s="189" t="s">
        <v>36</v>
      </c>
      <c r="AQ111" s="179">
        <v>44</v>
      </c>
      <c r="AR111" s="180">
        <v>23.8</v>
      </c>
      <c r="AS111" s="124"/>
      <c r="AT111" s="181">
        <f t="shared" si="26"/>
        <v>-3.1999999999999993</v>
      </c>
      <c r="AU111" s="182">
        <f t="shared" si="27"/>
        <v>0</v>
      </c>
      <c r="AV111" s="167">
        <f t="shared" si="24"/>
        <v>-3.1999999999999993</v>
      </c>
      <c r="AX111" s="110"/>
      <c r="BO111" s="159">
        <f t="shared" si="35"/>
        <v>23.8</v>
      </c>
      <c r="BP111" s="160">
        <f t="shared" si="25"/>
        <v>0</v>
      </c>
      <c r="BQ111" s="131"/>
      <c r="BR111" s="132"/>
      <c r="BS111" s="133"/>
      <c r="BT111" s="134"/>
      <c r="BU111" s="135"/>
    </row>
    <row r="112" spans="1:73" s="80" customFormat="1" ht="40.5" customHeight="1">
      <c r="A112" s="80">
        <v>9</v>
      </c>
      <c r="B112" s="111" t="s">
        <v>470</v>
      </c>
      <c r="C112" s="215" t="s">
        <v>470</v>
      </c>
      <c r="D112" s="162" t="s">
        <v>37</v>
      </c>
      <c r="E112" s="163" t="s">
        <v>38</v>
      </c>
      <c r="F112" s="514" t="s">
        <v>434</v>
      </c>
      <c r="G112" s="162" t="s">
        <v>335</v>
      </c>
      <c r="H112" s="162">
        <v>20</v>
      </c>
      <c r="I112" s="162" t="s">
        <v>424</v>
      </c>
      <c r="J112" s="162">
        <v>52</v>
      </c>
      <c r="K112" s="165">
        <v>17.3</v>
      </c>
      <c r="L112" s="165"/>
      <c r="M112" s="162" t="s">
        <v>335</v>
      </c>
      <c r="N112" s="166">
        <v>20</v>
      </c>
      <c r="O112" s="166" t="s">
        <v>424</v>
      </c>
      <c r="P112" s="205">
        <v>10</v>
      </c>
      <c r="Q112" s="206">
        <f>ROUND(N112*P112/60,1)</f>
        <v>3.3</v>
      </c>
      <c r="R112" s="207"/>
      <c r="S112" s="208">
        <f t="shared" si="36"/>
        <v>-14</v>
      </c>
      <c r="T112" s="225"/>
      <c r="U112" s="217"/>
      <c r="V112" s="225"/>
      <c r="W112" s="217"/>
      <c r="X112" s="218"/>
      <c r="Y112" s="172"/>
      <c r="Z112" s="210"/>
      <c r="AA112" s="168">
        <f t="shared" si="37"/>
        <v>-3.3</v>
      </c>
      <c r="AB112" s="168"/>
      <c r="AC112" s="168">
        <f t="shared" si="38"/>
        <v>-3.3</v>
      </c>
      <c r="AD112" s="211"/>
      <c r="AE112" s="128"/>
      <c r="AI112" s="174"/>
      <c r="AJ112" s="174"/>
      <c r="AM112" s="175">
        <f t="shared" si="34"/>
        <v>0</v>
      </c>
      <c r="AN112" s="176" t="s">
        <v>331</v>
      </c>
      <c r="AO112" s="177"/>
      <c r="AP112" s="189"/>
      <c r="AQ112" s="179"/>
      <c r="AR112" s="180"/>
      <c r="AS112" s="124"/>
      <c r="AT112" s="181">
        <f t="shared" si="26"/>
        <v>0</v>
      </c>
      <c r="AU112" s="182">
        <f t="shared" si="27"/>
        <v>0</v>
      </c>
      <c r="AV112" s="167">
        <f t="shared" si="24"/>
        <v>0</v>
      </c>
      <c r="AX112" s="110"/>
      <c r="BO112" s="159">
        <f t="shared" si="35"/>
        <v>0</v>
      </c>
      <c r="BP112" s="160">
        <f t="shared" si="25"/>
        <v>0</v>
      </c>
      <c r="BQ112" s="131"/>
      <c r="BR112" s="132"/>
      <c r="BS112" s="133"/>
      <c r="BT112" s="134"/>
      <c r="BU112" s="135"/>
    </row>
    <row r="113" spans="1:73" s="80" customFormat="1" ht="156" customHeight="1">
      <c r="A113" s="80">
        <v>2</v>
      </c>
      <c r="B113" s="111" t="s">
        <v>470</v>
      </c>
      <c r="C113" s="215" t="s">
        <v>470</v>
      </c>
      <c r="D113" s="162" t="s">
        <v>39</v>
      </c>
      <c r="E113" s="163" t="s">
        <v>40</v>
      </c>
      <c r="F113" s="514" t="s">
        <v>41</v>
      </c>
      <c r="G113" s="162" t="s">
        <v>335</v>
      </c>
      <c r="H113" s="162">
        <v>25</v>
      </c>
      <c r="I113" s="162"/>
      <c r="J113" s="162">
        <v>50</v>
      </c>
      <c r="K113" s="165">
        <v>20.8</v>
      </c>
      <c r="L113" s="165"/>
      <c r="M113" s="162" t="s">
        <v>335</v>
      </c>
      <c r="N113" s="166">
        <v>25</v>
      </c>
      <c r="O113" s="166" t="s">
        <v>42</v>
      </c>
      <c r="P113" s="205">
        <v>24</v>
      </c>
      <c r="Q113" s="206">
        <f>ROUND(N113*P113/60,1)</f>
        <v>10</v>
      </c>
      <c r="R113" s="207"/>
      <c r="S113" s="208">
        <f t="shared" si="36"/>
        <v>-10.8</v>
      </c>
      <c r="T113" s="162" t="s">
        <v>330</v>
      </c>
      <c r="U113" s="205">
        <v>25</v>
      </c>
      <c r="V113" s="170" t="s">
        <v>42</v>
      </c>
      <c r="W113" s="205">
        <v>23</v>
      </c>
      <c r="X113" s="206">
        <v>9.6</v>
      </c>
      <c r="Y113" s="172">
        <f>ROUND(U113*W113/60,1)</f>
        <v>9.6</v>
      </c>
      <c r="Z113" s="210"/>
      <c r="AA113" s="168">
        <f t="shared" si="37"/>
        <v>-0.40000000000000036</v>
      </c>
      <c r="AB113" s="168"/>
      <c r="AC113" s="168">
        <f t="shared" si="38"/>
        <v>-0.40000000000000036</v>
      </c>
      <c r="AD113" s="211"/>
      <c r="AF113" s="518" t="s">
        <v>43</v>
      </c>
      <c r="AI113" s="174"/>
      <c r="AJ113" s="174"/>
      <c r="AM113" s="175">
        <f t="shared" si="34"/>
        <v>0</v>
      </c>
      <c r="AN113" s="176" t="s">
        <v>331</v>
      </c>
      <c r="AO113" s="177">
        <v>25</v>
      </c>
      <c r="AP113" s="178" t="s">
        <v>44</v>
      </c>
      <c r="AQ113" s="179">
        <v>19</v>
      </c>
      <c r="AR113" s="180">
        <v>7.9</v>
      </c>
      <c r="AS113" s="124"/>
      <c r="AT113" s="181">
        <f t="shared" si="26"/>
        <v>-1.6999999999999993</v>
      </c>
      <c r="AU113" s="182">
        <f t="shared" si="27"/>
        <v>0</v>
      </c>
      <c r="AV113" s="167">
        <f t="shared" si="24"/>
        <v>-1.6999999999999993</v>
      </c>
      <c r="AX113" s="110"/>
      <c r="BO113" s="159">
        <f t="shared" si="35"/>
        <v>7.9</v>
      </c>
      <c r="BP113" s="160">
        <f t="shared" si="25"/>
        <v>0</v>
      </c>
      <c r="BQ113" s="131"/>
      <c r="BR113" s="132"/>
      <c r="BS113" s="133"/>
      <c r="BT113" s="134"/>
      <c r="BU113" s="135"/>
    </row>
    <row r="114" spans="1:73" s="80" customFormat="1" ht="67.5" customHeight="1">
      <c r="A114" s="80">
        <v>2</v>
      </c>
      <c r="B114" s="111" t="s">
        <v>470</v>
      </c>
      <c r="C114" s="215" t="s">
        <v>470</v>
      </c>
      <c r="D114" s="162" t="s">
        <v>45</v>
      </c>
      <c r="E114" s="271" t="s">
        <v>46</v>
      </c>
      <c r="F114" s="271" t="s">
        <v>47</v>
      </c>
      <c r="G114" s="162" t="s">
        <v>335</v>
      </c>
      <c r="H114" s="162">
        <v>15</v>
      </c>
      <c r="I114" s="162" t="s">
        <v>424</v>
      </c>
      <c r="J114" s="162">
        <v>52</v>
      </c>
      <c r="K114" s="165">
        <v>13</v>
      </c>
      <c r="L114" s="165"/>
      <c r="M114" s="162" t="s">
        <v>335</v>
      </c>
      <c r="N114" s="166">
        <v>15</v>
      </c>
      <c r="O114" s="166" t="s">
        <v>424</v>
      </c>
      <c r="P114" s="205">
        <v>51</v>
      </c>
      <c r="Q114" s="206">
        <f>ROUND(N114*P114/60,1)</f>
        <v>12.8</v>
      </c>
      <c r="R114" s="207"/>
      <c r="S114" s="208">
        <f t="shared" si="36"/>
        <v>-0.1999999999999993</v>
      </c>
      <c r="T114" s="162" t="s">
        <v>330</v>
      </c>
      <c r="U114" s="205">
        <v>12</v>
      </c>
      <c r="V114" s="170" t="s">
        <v>377</v>
      </c>
      <c r="W114" s="205">
        <v>45</v>
      </c>
      <c r="X114" s="206">
        <v>9</v>
      </c>
      <c r="Y114" s="172">
        <f>ROUND(U114*W114/60,1)</f>
        <v>9</v>
      </c>
      <c r="Z114" s="210"/>
      <c r="AA114" s="168">
        <f t="shared" si="37"/>
        <v>-3.8000000000000007</v>
      </c>
      <c r="AB114" s="168"/>
      <c r="AC114" s="168">
        <f t="shared" si="38"/>
        <v>-3.8000000000000007</v>
      </c>
      <c r="AD114" s="211"/>
      <c r="AE114" s="128"/>
      <c r="AI114" s="174"/>
      <c r="AJ114" s="174"/>
      <c r="AM114" s="175">
        <f t="shared" si="34"/>
        <v>0</v>
      </c>
      <c r="AN114" s="176" t="s">
        <v>331</v>
      </c>
      <c r="AO114" s="177">
        <v>11.5</v>
      </c>
      <c r="AP114" s="189" t="s">
        <v>36</v>
      </c>
      <c r="AQ114" s="179">
        <v>41</v>
      </c>
      <c r="AR114" s="180">
        <v>7.9</v>
      </c>
      <c r="AS114" s="124"/>
      <c r="AT114" s="181">
        <f t="shared" si="26"/>
        <v>-1.0999999999999996</v>
      </c>
      <c r="AU114" s="182">
        <f t="shared" si="27"/>
        <v>0</v>
      </c>
      <c r="AV114" s="167">
        <f t="shared" si="24"/>
        <v>-1.0999999999999996</v>
      </c>
      <c r="AX114" s="110"/>
      <c r="BO114" s="159">
        <f t="shared" si="35"/>
        <v>7.9</v>
      </c>
      <c r="BP114" s="160">
        <f t="shared" si="25"/>
        <v>0</v>
      </c>
      <c r="BQ114" s="131"/>
      <c r="BR114" s="132"/>
      <c r="BS114" s="133"/>
      <c r="BT114" s="134"/>
      <c r="BU114" s="135"/>
    </row>
    <row r="115" spans="1:73" s="80" customFormat="1" ht="146.25" customHeight="1">
      <c r="A115" s="80">
        <v>2</v>
      </c>
      <c r="B115" s="111" t="s">
        <v>470</v>
      </c>
      <c r="C115" s="215" t="s">
        <v>470</v>
      </c>
      <c r="D115" s="162" t="s">
        <v>48</v>
      </c>
      <c r="E115" s="519" t="s">
        <v>49</v>
      </c>
      <c r="F115" s="224" t="s">
        <v>50</v>
      </c>
      <c r="G115" s="162" t="s">
        <v>335</v>
      </c>
      <c r="H115" s="162">
        <v>30</v>
      </c>
      <c r="I115" s="162" t="s">
        <v>424</v>
      </c>
      <c r="J115" s="162">
        <v>50</v>
      </c>
      <c r="K115" s="165">
        <v>25</v>
      </c>
      <c r="L115" s="165"/>
      <c r="M115" s="162" t="s">
        <v>335</v>
      </c>
      <c r="N115" s="166">
        <v>30</v>
      </c>
      <c r="O115" s="166" t="s">
        <v>424</v>
      </c>
      <c r="P115" s="166">
        <v>50</v>
      </c>
      <c r="Q115" s="167">
        <v>25</v>
      </c>
      <c r="R115" s="168"/>
      <c r="S115" s="208">
        <f t="shared" si="36"/>
        <v>0</v>
      </c>
      <c r="T115" s="162" t="s">
        <v>330</v>
      </c>
      <c r="U115" s="205">
        <v>30</v>
      </c>
      <c r="V115" s="170" t="s">
        <v>377</v>
      </c>
      <c r="W115" s="205">
        <v>47</v>
      </c>
      <c r="X115" s="206">
        <v>23.5</v>
      </c>
      <c r="Y115" s="172">
        <f>ROUND(U115*W115/60,1)</f>
        <v>23.5</v>
      </c>
      <c r="Z115" s="210"/>
      <c r="AA115" s="168">
        <f t="shared" si="37"/>
        <v>-1.5</v>
      </c>
      <c r="AB115" s="168"/>
      <c r="AC115" s="168">
        <f t="shared" si="38"/>
        <v>-1.5</v>
      </c>
      <c r="AD115" s="211"/>
      <c r="AE115" s="128"/>
      <c r="AI115" s="174"/>
      <c r="AJ115" s="174"/>
      <c r="AM115" s="175">
        <f t="shared" si="34"/>
        <v>0</v>
      </c>
      <c r="AN115" s="176" t="s">
        <v>331</v>
      </c>
      <c r="AO115" s="177">
        <v>28.5</v>
      </c>
      <c r="AP115" s="178" t="s">
        <v>377</v>
      </c>
      <c r="AQ115" s="179">
        <v>47</v>
      </c>
      <c r="AR115" s="180">
        <v>22.3</v>
      </c>
      <c r="AS115" s="124"/>
      <c r="AT115" s="181">
        <f t="shared" si="26"/>
        <v>-1.1999999999999993</v>
      </c>
      <c r="AU115" s="182">
        <f t="shared" si="27"/>
        <v>0</v>
      </c>
      <c r="AV115" s="167">
        <f t="shared" si="24"/>
        <v>-1.1999999999999993</v>
      </c>
      <c r="AX115" s="110"/>
      <c r="BO115" s="159">
        <f t="shared" si="35"/>
        <v>22.3</v>
      </c>
      <c r="BP115" s="160">
        <f t="shared" si="25"/>
        <v>0</v>
      </c>
      <c r="BQ115" s="131"/>
      <c r="BR115" s="132"/>
      <c r="BS115" s="133"/>
      <c r="BT115" s="134"/>
      <c r="BU115" s="135"/>
    </row>
    <row r="116" spans="1:73" s="80" customFormat="1" ht="133.5" customHeight="1">
      <c r="A116" s="80">
        <v>2</v>
      </c>
      <c r="B116" s="111" t="s">
        <v>470</v>
      </c>
      <c r="C116" s="215" t="s">
        <v>470</v>
      </c>
      <c r="D116" s="162" t="s">
        <v>51</v>
      </c>
      <c r="E116" s="519" t="s">
        <v>52</v>
      </c>
      <c r="F116" s="224" t="s">
        <v>53</v>
      </c>
      <c r="G116" s="162" t="s">
        <v>335</v>
      </c>
      <c r="H116" s="162">
        <v>20</v>
      </c>
      <c r="I116" s="162" t="s">
        <v>513</v>
      </c>
      <c r="J116" s="162">
        <v>24</v>
      </c>
      <c r="K116" s="165">
        <v>8</v>
      </c>
      <c r="L116" s="165"/>
      <c r="M116" s="162" t="s">
        <v>335</v>
      </c>
      <c r="N116" s="166"/>
      <c r="O116" s="279"/>
      <c r="P116" s="166"/>
      <c r="Q116" s="167"/>
      <c r="R116" s="168"/>
      <c r="S116" s="208">
        <f t="shared" si="36"/>
        <v>-8</v>
      </c>
      <c r="T116" s="162" t="s">
        <v>330</v>
      </c>
      <c r="U116" s="205">
        <v>40</v>
      </c>
      <c r="V116" s="170" t="s">
        <v>377</v>
      </c>
      <c r="W116" s="205">
        <v>18</v>
      </c>
      <c r="X116" s="206">
        <v>12</v>
      </c>
      <c r="Y116" s="172">
        <f>ROUND(U116*W116/60,1)</f>
        <v>12</v>
      </c>
      <c r="Z116" s="210"/>
      <c r="AA116" s="168">
        <f t="shared" si="37"/>
        <v>12</v>
      </c>
      <c r="AB116" s="168"/>
      <c r="AC116" s="168">
        <f t="shared" si="38"/>
        <v>12</v>
      </c>
      <c r="AD116" s="520"/>
      <c r="AE116" s="210"/>
      <c r="AI116" s="174"/>
      <c r="AJ116" s="174"/>
      <c r="AM116" s="175">
        <f t="shared" si="34"/>
        <v>0</v>
      </c>
      <c r="AN116" s="176" t="s">
        <v>331</v>
      </c>
      <c r="AO116" s="177">
        <v>40</v>
      </c>
      <c r="AP116" s="189" t="s">
        <v>54</v>
      </c>
      <c r="AQ116" s="179">
        <v>17</v>
      </c>
      <c r="AR116" s="180">
        <v>11.3</v>
      </c>
      <c r="AS116" s="124"/>
      <c r="AT116" s="181">
        <f aca="true" t="shared" si="39" ref="AT116:AT147">AR116-X116</f>
        <v>-0.6999999999999993</v>
      </c>
      <c r="AU116" s="182">
        <f aca="true" t="shared" si="40" ref="AU116:AU147">AS116-Z116</f>
        <v>0</v>
      </c>
      <c r="AV116" s="167">
        <f t="shared" si="24"/>
        <v>-0.6999999999999993</v>
      </c>
      <c r="AX116" s="110"/>
      <c r="BO116" s="159">
        <f t="shared" si="35"/>
        <v>11.3</v>
      </c>
      <c r="BP116" s="160">
        <f t="shared" si="25"/>
        <v>0</v>
      </c>
      <c r="BQ116" s="131"/>
      <c r="BR116" s="132"/>
      <c r="BS116" s="133"/>
      <c r="BT116" s="134"/>
      <c r="BU116" s="135"/>
    </row>
    <row r="117" spans="1:73" s="80" customFormat="1" ht="168.75" customHeight="1">
      <c r="A117" s="80">
        <v>3</v>
      </c>
      <c r="B117" s="111" t="s">
        <v>470</v>
      </c>
      <c r="C117" s="215" t="s">
        <v>470</v>
      </c>
      <c r="D117" s="162" t="s">
        <v>55</v>
      </c>
      <c r="E117" s="163" t="s">
        <v>56</v>
      </c>
      <c r="F117" s="521" t="s">
        <v>57</v>
      </c>
      <c r="G117" s="162" t="s">
        <v>335</v>
      </c>
      <c r="H117" s="162">
        <v>20</v>
      </c>
      <c r="I117" s="162" t="s">
        <v>58</v>
      </c>
      <c r="J117" s="162">
        <v>12</v>
      </c>
      <c r="K117" s="165">
        <v>4</v>
      </c>
      <c r="L117" s="165"/>
      <c r="M117" s="162" t="s">
        <v>335</v>
      </c>
      <c r="N117" s="166">
        <v>20</v>
      </c>
      <c r="O117" s="166" t="s">
        <v>58</v>
      </c>
      <c r="P117" s="166">
        <v>12</v>
      </c>
      <c r="Q117" s="167">
        <v>4</v>
      </c>
      <c r="R117" s="168"/>
      <c r="S117" s="208">
        <f t="shared" si="36"/>
        <v>0</v>
      </c>
      <c r="T117" s="162" t="s">
        <v>330</v>
      </c>
      <c r="U117" s="217"/>
      <c r="V117" s="225"/>
      <c r="W117" s="217"/>
      <c r="X117" s="206">
        <v>3.3</v>
      </c>
      <c r="Y117" s="220">
        <v>3.3</v>
      </c>
      <c r="Z117" s="210"/>
      <c r="AA117" s="168">
        <f t="shared" si="37"/>
        <v>-0.7000000000000002</v>
      </c>
      <c r="AB117" s="168"/>
      <c r="AC117" s="168">
        <f t="shared" si="38"/>
        <v>-0.7000000000000002</v>
      </c>
      <c r="AD117" s="211"/>
      <c r="AE117" s="128"/>
      <c r="AI117" s="174"/>
      <c r="AJ117" s="174"/>
      <c r="AM117" s="175">
        <f t="shared" si="34"/>
        <v>0</v>
      </c>
      <c r="AN117" s="176" t="s">
        <v>331</v>
      </c>
      <c r="AO117" s="177"/>
      <c r="AP117" s="189"/>
      <c r="AQ117" s="179"/>
      <c r="AR117" s="180">
        <v>1.5</v>
      </c>
      <c r="AS117" s="124"/>
      <c r="AT117" s="181">
        <f t="shared" si="39"/>
        <v>-1.7999999999999998</v>
      </c>
      <c r="AU117" s="182">
        <f t="shared" si="40"/>
        <v>0</v>
      </c>
      <c r="AV117" s="167">
        <f t="shared" si="24"/>
        <v>-1.7999999999999998</v>
      </c>
      <c r="AX117" s="110"/>
      <c r="BO117" s="159">
        <v>1.5</v>
      </c>
      <c r="BP117" s="160">
        <f t="shared" si="25"/>
        <v>0</v>
      </c>
      <c r="BQ117" s="131"/>
      <c r="BR117" s="132"/>
      <c r="BS117" s="133"/>
      <c r="BT117" s="134"/>
      <c r="BU117" s="135"/>
    </row>
    <row r="118" spans="1:73" s="80" customFormat="1" ht="117" customHeight="1">
      <c r="A118" s="80">
        <v>3</v>
      </c>
      <c r="B118" s="111" t="s">
        <v>470</v>
      </c>
      <c r="C118" s="215" t="s">
        <v>470</v>
      </c>
      <c r="D118" s="162" t="s">
        <v>59</v>
      </c>
      <c r="E118" s="163" t="s">
        <v>60</v>
      </c>
      <c r="F118" s="224" t="s">
        <v>61</v>
      </c>
      <c r="G118" s="162" t="s">
        <v>335</v>
      </c>
      <c r="H118" s="162">
        <v>30</v>
      </c>
      <c r="I118" s="162"/>
      <c r="J118" s="162">
        <v>5</v>
      </c>
      <c r="K118" s="165">
        <v>2.5</v>
      </c>
      <c r="L118" s="165"/>
      <c r="M118" s="162" t="s">
        <v>335</v>
      </c>
      <c r="N118" s="166">
        <v>30</v>
      </c>
      <c r="O118" s="166"/>
      <c r="P118" s="166">
        <v>5</v>
      </c>
      <c r="Q118" s="167">
        <v>2.5</v>
      </c>
      <c r="R118" s="168"/>
      <c r="S118" s="208">
        <f>Q118-K118</f>
        <v>0</v>
      </c>
      <c r="T118" s="162" t="s">
        <v>330</v>
      </c>
      <c r="U118" s="217"/>
      <c r="V118" s="225"/>
      <c r="W118" s="217"/>
      <c r="X118" s="206">
        <f>8.3-5.6+0.5+0.5</f>
        <v>3.700000000000001</v>
      </c>
      <c r="Y118" s="220">
        <v>2.7</v>
      </c>
      <c r="Z118" s="210"/>
      <c r="AA118" s="168">
        <f t="shared" si="37"/>
        <v>1.200000000000001</v>
      </c>
      <c r="AB118" s="168"/>
      <c r="AC118" s="168">
        <f t="shared" si="38"/>
        <v>1.200000000000001</v>
      </c>
      <c r="AD118" s="211"/>
      <c r="AE118" s="128"/>
      <c r="AI118" s="174"/>
      <c r="AJ118" s="174"/>
      <c r="AM118" s="175">
        <f t="shared" si="34"/>
        <v>1.0000000000000009</v>
      </c>
      <c r="AN118" s="176" t="s">
        <v>331</v>
      </c>
      <c r="AO118" s="177"/>
      <c r="AP118" s="189"/>
      <c r="AQ118" s="179"/>
      <c r="AR118" s="180">
        <f>1.7+6.3</f>
        <v>8</v>
      </c>
      <c r="AS118" s="124"/>
      <c r="AT118" s="181">
        <f t="shared" si="39"/>
        <v>4.299999999999999</v>
      </c>
      <c r="AU118" s="182">
        <f t="shared" si="40"/>
        <v>0</v>
      </c>
      <c r="AV118" s="167">
        <f t="shared" si="24"/>
        <v>4.299999999999999</v>
      </c>
      <c r="AX118" s="110"/>
      <c r="BO118" s="159">
        <v>8</v>
      </c>
      <c r="BP118" s="160">
        <f t="shared" si="25"/>
        <v>0</v>
      </c>
      <c r="BQ118" s="131"/>
      <c r="BR118" s="132"/>
      <c r="BS118" s="133"/>
      <c r="BT118" s="134"/>
      <c r="BU118" s="135"/>
    </row>
    <row r="119" spans="1:73" s="80" customFormat="1" ht="51.75" customHeight="1">
      <c r="A119" s="80">
        <v>3</v>
      </c>
      <c r="B119" s="111" t="s">
        <v>470</v>
      </c>
      <c r="C119" s="215" t="s">
        <v>470</v>
      </c>
      <c r="D119" s="162" t="s">
        <v>62</v>
      </c>
      <c r="E119" s="271" t="s">
        <v>63</v>
      </c>
      <c r="F119" s="271" t="s">
        <v>64</v>
      </c>
      <c r="G119" s="162" t="s">
        <v>335</v>
      </c>
      <c r="H119" s="162">
        <v>25</v>
      </c>
      <c r="I119" s="162" t="s">
        <v>424</v>
      </c>
      <c r="J119" s="162">
        <v>52</v>
      </c>
      <c r="K119" s="165">
        <v>21.7</v>
      </c>
      <c r="L119" s="165"/>
      <c r="M119" s="162" t="s">
        <v>335</v>
      </c>
      <c r="N119" s="166">
        <v>25</v>
      </c>
      <c r="O119" s="166" t="s">
        <v>424</v>
      </c>
      <c r="P119" s="166">
        <v>39</v>
      </c>
      <c r="Q119" s="206">
        <f>ROUND(N119*P119/60,1)-0.1</f>
        <v>16.2</v>
      </c>
      <c r="R119" s="168"/>
      <c r="S119" s="208">
        <f aca="true" t="shared" si="41" ref="S119:S126">Q119-K119</f>
        <v>-5.5</v>
      </c>
      <c r="T119" s="162" t="s">
        <v>330</v>
      </c>
      <c r="U119" s="205">
        <v>25</v>
      </c>
      <c r="V119" s="170" t="s">
        <v>377</v>
      </c>
      <c r="W119" s="205">
        <v>43</v>
      </c>
      <c r="X119" s="206">
        <v>17.9</v>
      </c>
      <c r="Y119" s="172">
        <f>ROUND(U119*W119/60,1)</f>
        <v>17.9</v>
      </c>
      <c r="Z119" s="522"/>
      <c r="AA119" s="168">
        <f t="shared" si="37"/>
        <v>1.6999999999999993</v>
      </c>
      <c r="AB119" s="168"/>
      <c r="AC119" s="168">
        <f aca="true" t="shared" si="42" ref="AC119:AC138">AB119+AA119</f>
        <v>1.6999999999999993</v>
      </c>
      <c r="AD119" s="211"/>
      <c r="AE119" s="523">
        <v>-0.1</v>
      </c>
      <c r="AI119" s="174"/>
      <c r="AJ119" s="174"/>
      <c r="AM119" s="175">
        <f aca="true" t="shared" si="43" ref="AM119:AM148">X119-Y119</f>
        <v>0</v>
      </c>
      <c r="AN119" s="176" t="s">
        <v>331</v>
      </c>
      <c r="AO119" s="177">
        <v>24.5</v>
      </c>
      <c r="AP119" s="443" t="s">
        <v>65</v>
      </c>
      <c r="AQ119" s="179">
        <v>43</v>
      </c>
      <c r="AR119" s="180">
        <v>17.6</v>
      </c>
      <c r="AS119" s="124"/>
      <c r="AT119" s="181">
        <f t="shared" si="39"/>
        <v>-0.29999999999999716</v>
      </c>
      <c r="AU119" s="182">
        <f t="shared" si="40"/>
        <v>0</v>
      </c>
      <c r="AV119" s="167">
        <f t="shared" si="24"/>
        <v>-0.29999999999999716</v>
      </c>
      <c r="AX119" s="110"/>
      <c r="BO119" s="159">
        <f t="shared" si="35"/>
        <v>17.6</v>
      </c>
      <c r="BP119" s="160">
        <f t="shared" si="25"/>
        <v>0</v>
      </c>
      <c r="BQ119" s="131"/>
      <c r="BR119" s="132"/>
      <c r="BS119" s="133"/>
      <c r="BT119" s="134"/>
      <c r="BU119" s="135"/>
    </row>
    <row r="120" spans="1:73" s="80" customFormat="1" ht="62.25" customHeight="1">
      <c r="A120" s="80">
        <v>10</v>
      </c>
      <c r="B120" s="111" t="s">
        <v>470</v>
      </c>
      <c r="C120" s="524" t="s">
        <v>470</v>
      </c>
      <c r="D120" s="166" t="s">
        <v>66</v>
      </c>
      <c r="E120" s="227" t="s">
        <v>67</v>
      </c>
      <c r="F120" s="525" t="s">
        <v>68</v>
      </c>
      <c r="G120" s="162" t="s">
        <v>335</v>
      </c>
      <c r="H120" s="162">
        <v>60</v>
      </c>
      <c r="I120" s="162" t="s">
        <v>2</v>
      </c>
      <c r="J120" s="162">
        <v>26</v>
      </c>
      <c r="K120" s="165">
        <v>26</v>
      </c>
      <c r="L120" s="165"/>
      <c r="M120" s="162" t="s">
        <v>335</v>
      </c>
      <c r="N120" s="166"/>
      <c r="O120" s="166"/>
      <c r="P120" s="166"/>
      <c r="Q120" s="167">
        <v>44.6</v>
      </c>
      <c r="R120" s="168"/>
      <c r="S120" s="208">
        <f t="shared" si="41"/>
        <v>18.6</v>
      </c>
      <c r="T120" s="162" t="s">
        <v>330</v>
      </c>
      <c r="U120" s="205"/>
      <c r="V120" s="209"/>
      <c r="W120" s="205"/>
      <c r="X120" s="206">
        <f>103.7-1</f>
        <v>102.7</v>
      </c>
      <c r="Y120" s="226">
        <f>103.65-1</f>
        <v>102.65</v>
      </c>
      <c r="Z120" s="522"/>
      <c r="AA120" s="168">
        <f t="shared" si="37"/>
        <v>58.1</v>
      </c>
      <c r="AB120" s="168"/>
      <c r="AC120" s="168">
        <f t="shared" si="42"/>
        <v>58.1</v>
      </c>
      <c r="AD120" s="211"/>
      <c r="AE120" s="128"/>
      <c r="AI120" s="174"/>
      <c r="AJ120" s="174"/>
      <c r="AM120" s="175">
        <f t="shared" si="43"/>
        <v>0.04999999999999716</v>
      </c>
      <c r="AN120" s="176" t="s">
        <v>331</v>
      </c>
      <c r="AO120" s="177"/>
      <c r="AP120" s="189"/>
      <c r="AQ120" s="179"/>
      <c r="AR120" s="180">
        <v>117.5</v>
      </c>
      <c r="AS120" s="124"/>
      <c r="AT120" s="181">
        <f t="shared" si="39"/>
        <v>14.799999999999997</v>
      </c>
      <c r="AU120" s="182">
        <f t="shared" si="40"/>
        <v>0</v>
      </c>
      <c r="AV120" s="167">
        <f t="shared" si="24"/>
        <v>14.799999999999997</v>
      </c>
      <c r="AX120" s="110"/>
      <c r="BO120" s="159">
        <v>117.5</v>
      </c>
      <c r="BP120" s="160">
        <f t="shared" si="25"/>
        <v>0</v>
      </c>
      <c r="BQ120" s="131"/>
      <c r="BR120" s="132"/>
      <c r="BS120" s="133"/>
      <c r="BT120" s="134"/>
      <c r="BU120" s="135"/>
    </row>
    <row r="121" spans="1:73" s="80" customFormat="1" ht="56.25" customHeight="1">
      <c r="A121" s="80">
        <v>10</v>
      </c>
      <c r="B121" s="111" t="s">
        <v>470</v>
      </c>
      <c r="C121" s="524" t="s">
        <v>470</v>
      </c>
      <c r="D121" s="162" t="s">
        <v>69</v>
      </c>
      <c r="E121" s="163" t="s">
        <v>70</v>
      </c>
      <c r="F121" s="525" t="s">
        <v>71</v>
      </c>
      <c r="G121" s="162" t="s">
        <v>335</v>
      </c>
      <c r="H121" s="162">
        <v>30</v>
      </c>
      <c r="I121" s="162"/>
      <c r="J121" s="162">
        <v>32</v>
      </c>
      <c r="K121" s="165">
        <v>16</v>
      </c>
      <c r="L121" s="165"/>
      <c r="M121" s="162" t="s">
        <v>335</v>
      </c>
      <c r="N121" s="166">
        <v>30</v>
      </c>
      <c r="O121" s="166"/>
      <c r="P121" s="166">
        <v>20</v>
      </c>
      <c r="Q121" s="206">
        <f aca="true" t="shared" si="44" ref="Q121:Q126">ROUND(N121*P121/60,1)</f>
        <v>10</v>
      </c>
      <c r="R121" s="168"/>
      <c r="S121" s="208">
        <f t="shared" si="41"/>
        <v>-6</v>
      </c>
      <c r="T121" s="162" t="s">
        <v>330</v>
      </c>
      <c r="U121" s="217"/>
      <c r="V121" s="225"/>
      <c r="W121" s="205"/>
      <c r="X121" s="206">
        <v>17</v>
      </c>
      <c r="Y121" s="226">
        <v>12.5</v>
      </c>
      <c r="Z121" s="210"/>
      <c r="AA121" s="168">
        <f t="shared" si="37"/>
        <v>7</v>
      </c>
      <c r="AB121" s="168"/>
      <c r="AC121" s="168">
        <f t="shared" si="42"/>
        <v>7</v>
      </c>
      <c r="AD121" s="211"/>
      <c r="AE121" s="128"/>
      <c r="AI121" s="174"/>
      <c r="AJ121" s="174"/>
      <c r="AM121" s="175">
        <f t="shared" si="43"/>
        <v>4.5</v>
      </c>
      <c r="AN121" s="176" t="s">
        <v>331</v>
      </c>
      <c r="AO121" s="177"/>
      <c r="AP121" s="189"/>
      <c r="AQ121" s="179"/>
      <c r="AR121" s="180">
        <v>12.5</v>
      </c>
      <c r="AS121" s="124"/>
      <c r="AT121" s="181">
        <f t="shared" si="39"/>
        <v>-4.5</v>
      </c>
      <c r="AU121" s="182">
        <f t="shared" si="40"/>
        <v>0</v>
      </c>
      <c r="AV121" s="167">
        <f t="shared" si="24"/>
        <v>-4.5</v>
      </c>
      <c r="AX121" s="110"/>
      <c r="BO121" s="159">
        <v>12.5</v>
      </c>
      <c r="BP121" s="160">
        <f t="shared" si="25"/>
        <v>0</v>
      </c>
      <c r="BQ121" s="131"/>
      <c r="BR121" s="132"/>
      <c r="BS121" s="133"/>
      <c r="BT121" s="134"/>
      <c r="BU121" s="135"/>
    </row>
    <row r="122" spans="1:73" s="80" customFormat="1" ht="67.5" customHeight="1">
      <c r="A122" s="80">
        <v>10</v>
      </c>
      <c r="B122" s="111" t="s">
        <v>552</v>
      </c>
      <c r="C122" s="524" t="s">
        <v>470</v>
      </c>
      <c r="D122" s="162" t="s">
        <v>578</v>
      </c>
      <c r="E122" s="163" t="s">
        <v>579</v>
      </c>
      <c r="F122" s="525" t="s">
        <v>72</v>
      </c>
      <c r="G122" s="162" t="s">
        <v>335</v>
      </c>
      <c r="H122" s="162">
        <v>30</v>
      </c>
      <c r="I122" s="162"/>
      <c r="J122" s="162">
        <v>26</v>
      </c>
      <c r="K122" s="165">
        <v>13</v>
      </c>
      <c r="L122" s="165"/>
      <c r="M122" s="162" t="s">
        <v>335</v>
      </c>
      <c r="N122" s="166">
        <v>30</v>
      </c>
      <c r="O122" s="166"/>
      <c r="P122" s="166">
        <v>18</v>
      </c>
      <c r="Q122" s="206">
        <f t="shared" si="44"/>
        <v>9</v>
      </c>
      <c r="R122" s="168"/>
      <c r="S122" s="208">
        <f t="shared" si="41"/>
        <v>-4</v>
      </c>
      <c r="T122" s="162" t="s">
        <v>330</v>
      </c>
      <c r="U122" s="526" t="s">
        <v>73</v>
      </c>
      <c r="V122" s="527"/>
      <c r="W122" s="528"/>
      <c r="X122" s="206"/>
      <c r="Y122" s="226"/>
      <c r="Z122" s="210"/>
      <c r="AA122" s="168">
        <f t="shared" si="37"/>
        <v>-9</v>
      </c>
      <c r="AB122" s="168"/>
      <c r="AC122" s="168">
        <f t="shared" si="42"/>
        <v>-9</v>
      </c>
      <c r="AD122" s="211"/>
      <c r="AE122" s="128"/>
      <c r="AI122" s="174"/>
      <c r="AJ122" s="174"/>
      <c r="AM122" s="175">
        <f t="shared" si="43"/>
        <v>0</v>
      </c>
      <c r="AN122" s="176" t="s">
        <v>331</v>
      </c>
      <c r="AO122" s="177"/>
      <c r="AP122" s="189"/>
      <c r="AQ122" s="179"/>
      <c r="AR122" s="180"/>
      <c r="AS122" s="124"/>
      <c r="AT122" s="181">
        <f t="shared" si="39"/>
        <v>0</v>
      </c>
      <c r="AU122" s="182">
        <f t="shared" si="40"/>
        <v>0</v>
      </c>
      <c r="AV122" s="167">
        <f t="shared" si="24"/>
        <v>0</v>
      </c>
      <c r="AX122" s="110"/>
      <c r="BO122" s="159">
        <f t="shared" si="35"/>
        <v>0</v>
      </c>
      <c r="BP122" s="160">
        <f t="shared" si="25"/>
        <v>0</v>
      </c>
      <c r="BQ122" s="131"/>
      <c r="BR122" s="132"/>
      <c r="BS122" s="133"/>
      <c r="BT122" s="134"/>
      <c r="BU122" s="135"/>
    </row>
    <row r="123" spans="1:73" s="80" customFormat="1" ht="60" customHeight="1">
      <c r="A123" s="80">
        <v>9</v>
      </c>
      <c r="B123" s="111" t="s">
        <v>470</v>
      </c>
      <c r="C123" s="215" t="s">
        <v>470</v>
      </c>
      <c r="D123" s="162" t="s">
        <v>74</v>
      </c>
      <c r="E123" s="163" t="s">
        <v>75</v>
      </c>
      <c r="F123" s="213" t="s">
        <v>434</v>
      </c>
      <c r="G123" s="162" t="s">
        <v>335</v>
      </c>
      <c r="H123" s="162">
        <v>25</v>
      </c>
      <c r="I123" s="162" t="s">
        <v>513</v>
      </c>
      <c r="J123" s="162">
        <v>24</v>
      </c>
      <c r="K123" s="165">
        <v>10</v>
      </c>
      <c r="L123" s="165"/>
      <c r="M123" s="162" t="s">
        <v>335</v>
      </c>
      <c r="N123" s="166">
        <v>25</v>
      </c>
      <c r="O123" s="166" t="s">
        <v>513</v>
      </c>
      <c r="P123" s="166">
        <v>18</v>
      </c>
      <c r="Q123" s="206">
        <f t="shared" si="44"/>
        <v>7.5</v>
      </c>
      <c r="R123" s="168"/>
      <c r="S123" s="208">
        <f t="shared" si="41"/>
        <v>-2.5</v>
      </c>
      <c r="T123" s="162" t="s">
        <v>330</v>
      </c>
      <c r="U123" s="205">
        <v>22</v>
      </c>
      <c r="V123" s="209" t="s">
        <v>497</v>
      </c>
      <c r="W123" s="205">
        <v>27</v>
      </c>
      <c r="X123" s="206">
        <v>9.9</v>
      </c>
      <c r="Y123" s="172">
        <f>ROUND(U123*W123/60,1)</f>
        <v>9.9</v>
      </c>
      <c r="Z123" s="210"/>
      <c r="AA123" s="168">
        <f t="shared" si="37"/>
        <v>2.4000000000000004</v>
      </c>
      <c r="AB123" s="168"/>
      <c r="AC123" s="168">
        <f t="shared" si="42"/>
        <v>2.4000000000000004</v>
      </c>
      <c r="AD123" s="211"/>
      <c r="AE123" s="128"/>
      <c r="AI123" s="174"/>
      <c r="AJ123" s="174"/>
      <c r="AM123" s="175">
        <f t="shared" si="43"/>
        <v>0</v>
      </c>
      <c r="AN123" s="176" t="s">
        <v>331</v>
      </c>
      <c r="AO123" s="177">
        <v>22.5</v>
      </c>
      <c r="AP123" s="189" t="s">
        <v>502</v>
      </c>
      <c r="AQ123" s="179">
        <v>21</v>
      </c>
      <c r="AR123" s="180">
        <v>7.9</v>
      </c>
      <c r="AS123" s="124"/>
      <c r="AT123" s="181">
        <f t="shared" si="39"/>
        <v>-2</v>
      </c>
      <c r="AU123" s="182">
        <f t="shared" si="40"/>
        <v>0</v>
      </c>
      <c r="AV123" s="167">
        <f t="shared" si="24"/>
        <v>-2</v>
      </c>
      <c r="AX123" s="110"/>
      <c r="BO123" s="159">
        <f t="shared" si="35"/>
        <v>7.9</v>
      </c>
      <c r="BP123" s="160">
        <f t="shared" si="25"/>
        <v>0</v>
      </c>
      <c r="BQ123" s="131"/>
      <c r="BR123" s="132"/>
      <c r="BS123" s="133"/>
      <c r="BT123" s="134"/>
      <c r="BU123" s="135"/>
    </row>
    <row r="124" spans="1:73" s="238" customFormat="1" ht="52.5" customHeight="1" hidden="1">
      <c r="A124" s="229">
        <v>2</v>
      </c>
      <c r="B124" s="267">
        <v>3</v>
      </c>
      <c r="C124" s="268">
        <v>3</v>
      </c>
      <c r="D124" s="166" t="s">
        <v>76</v>
      </c>
      <c r="E124" s="232" t="s">
        <v>77</v>
      </c>
      <c r="F124" s="525" t="s">
        <v>78</v>
      </c>
      <c r="G124" s="233"/>
      <c r="H124" s="272"/>
      <c r="I124" s="272"/>
      <c r="J124" s="272"/>
      <c r="K124" s="272"/>
      <c r="L124" s="272"/>
      <c r="M124" s="162" t="s">
        <v>335</v>
      </c>
      <c r="N124" s="216">
        <v>45</v>
      </c>
      <c r="O124" s="273" t="s">
        <v>79</v>
      </c>
      <c r="P124" s="216">
        <v>36</v>
      </c>
      <c r="Q124" s="206">
        <f t="shared" si="44"/>
        <v>27</v>
      </c>
      <c r="R124" s="207"/>
      <c r="S124" s="222">
        <f t="shared" si="41"/>
        <v>27</v>
      </c>
      <c r="T124" s="365"/>
      <c r="U124" s="205"/>
      <c r="V124" s="209"/>
      <c r="W124" s="205"/>
      <c r="X124" s="206"/>
      <c r="Y124" s="226"/>
      <c r="Z124" s="207"/>
      <c r="AA124" s="168">
        <f t="shared" si="37"/>
        <v>-27</v>
      </c>
      <c r="AB124" s="168"/>
      <c r="AC124" s="168">
        <f t="shared" si="42"/>
        <v>-27</v>
      </c>
      <c r="AD124" s="529"/>
      <c r="AE124" s="239"/>
      <c r="AF124" s="239"/>
      <c r="AG124" s="239"/>
      <c r="AH124" s="239"/>
      <c r="AI124" s="240"/>
      <c r="AJ124" s="240"/>
      <c r="AK124" s="239"/>
      <c r="AL124" s="239"/>
      <c r="AM124" s="175">
        <f t="shared" si="43"/>
        <v>0</v>
      </c>
      <c r="AN124" s="176" t="s">
        <v>331</v>
      </c>
      <c r="AO124" s="177"/>
      <c r="AP124" s="189"/>
      <c r="AQ124" s="179"/>
      <c r="AR124" s="241"/>
      <c r="AS124" s="124"/>
      <c r="AT124" s="181">
        <f t="shared" si="39"/>
        <v>0</v>
      </c>
      <c r="AU124" s="182">
        <f t="shared" si="40"/>
        <v>0</v>
      </c>
      <c r="AV124" s="167">
        <f t="shared" si="24"/>
        <v>0</v>
      </c>
      <c r="AX124" s="229"/>
      <c r="BO124" s="159">
        <f t="shared" si="35"/>
        <v>0</v>
      </c>
      <c r="BP124" s="160">
        <f t="shared" si="25"/>
        <v>0</v>
      </c>
      <c r="BQ124" s="131"/>
      <c r="BR124" s="132"/>
      <c r="BS124" s="242"/>
      <c r="BT124" s="243"/>
      <c r="BU124" s="244"/>
    </row>
    <row r="125" spans="1:73" s="532" customFormat="1" ht="108.75" customHeight="1">
      <c r="A125" s="229">
        <v>2</v>
      </c>
      <c r="B125" s="267">
        <v>3</v>
      </c>
      <c r="C125" s="268">
        <v>3</v>
      </c>
      <c r="D125" s="166" t="s">
        <v>80</v>
      </c>
      <c r="E125" s="232" t="s">
        <v>81</v>
      </c>
      <c r="F125" s="213" t="s">
        <v>82</v>
      </c>
      <c r="G125" s="275"/>
      <c r="H125" s="272"/>
      <c r="I125" s="272"/>
      <c r="J125" s="272"/>
      <c r="K125" s="272"/>
      <c r="L125" s="272"/>
      <c r="M125" s="162" t="s">
        <v>335</v>
      </c>
      <c r="N125" s="216">
        <v>25</v>
      </c>
      <c r="O125" s="273" t="s">
        <v>79</v>
      </c>
      <c r="P125" s="216">
        <v>10</v>
      </c>
      <c r="Q125" s="206">
        <f t="shared" si="44"/>
        <v>4.2</v>
      </c>
      <c r="R125" s="210"/>
      <c r="S125" s="208">
        <f t="shared" si="41"/>
        <v>4.2</v>
      </c>
      <c r="T125" s="162" t="s">
        <v>330</v>
      </c>
      <c r="U125" s="166">
        <v>26</v>
      </c>
      <c r="V125" s="234" t="s">
        <v>79</v>
      </c>
      <c r="W125" s="205">
        <v>5</v>
      </c>
      <c r="X125" s="206">
        <v>2.2</v>
      </c>
      <c r="Y125" s="172">
        <f>ROUND(U125*W125/60,1)</f>
        <v>2.2</v>
      </c>
      <c r="Z125" s="171"/>
      <c r="AA125" s="168">
        <f t="shared" si="37"/>
        <v>-2</v>
      </c>
      <c r="AB125" s="168"/>
      <c r="AC125" s="168">
        <f t="shared" si="42"/>
        <v>-2</v>
      </c>
      <c r="AD125" s="211"/>
      <c r="AE125" s="530"/>
      <c r="AF125" s="530"/>
      <c r="AG125" s="530"/>
      <c r="AH125" s="530"/>
      <c r="AI125" s="531"/>
      <c r="AJ125" s="531"/>
      <c r="AK125" s="530"/>
      <c r="AL125" s="530"/>
      <c r="AM125" s="175">
        <f t="shared" si="43"/>
        <v>0</v>
      </c>
      <c r="AN125" s="176" t="s">
        <v>331</v>
      </c>
      <c r="AO125" s="177">
        <v>27</v>
      </c>
      <c r="AP125" s="189"/>
      <c r="AQ125" s="179">
        <v>1</v>
      </c>
      <c r="AR125" s="241">
        <v>0.5</v>
      </c>
      <c r="AS125" s="124"/>
      <c r="AT125" s="181">
        <f t="shared" si="39"/>
        <v>-1.7000000000000002</v>
      </c>
      <c r="AU125" s="182">
        <f t="shared" si="40"/>
        <v>0</v>
      </c>
      <c r="AV125" s="167">
        <f t="shared" si="24"/>
        <v>-1.7000000000000002</v>
      </c>
      <c r="AX125" s="533"/>
      <c r="BO125" s="159"/>
      <c r="BP125" s="160"/>
      <c r="BQ125" s="131"/>
      <c r="BR125" s="132"/>
      <c r="BS125" s="242"/>
      <c r="BT125" s="534"/>
      <c r="BU125" s="535"/>
    </row>
    <row r="126" spans="1:73" s="254" customFormat="1" ht="51.75" customHeight="1" hidden="1">
      <c r="A126" s="229">
        <v>3</v>
      </c>
      <c r="B126" s="267">
        <v>3</v>
      </c>
      <c r="C126" s="268">
        <v>3</v>
      </c>
      <c r="D126" s="166" t="s">
        <v>83</v>
      </c>
      <c r="E126" s="232" t="s">
        <v>84</v>
      </c>
      <c r="F126" s="250" t="s">
        <v>85</v>
      </c>
      <c r="G126" s="536"/>
      <c r="H126" s="272"/>
      <c r="I126" s="272"/>
      <c r="J126" s="272"/>
      <c r="K126" s="272"/>
      <c r="L126" s="272"/>
      <c r="M126" s="162" t="s">
        <v>335</v>
      </c>
      <c r="N126" s="216">
        <v>30</v>
      </c>
      <c r="O126" s="273" t="s">
        <v>79</v>
      </c>
      <c r="P126" s="216">
        <v>30</v>
      </c>
      <c r="Q126" s="206">
        <f t="shared" si="44"/>
        <v>15</v>
      </c>
      <c r="R126" s="207"/>
      <c r="S126" s="222">
        <f t="shared" si="41"/>
        <v>15</v>
      </c>
      <c r="T126" s="365"/>
      <c r="U126" s="205"/>
      <c r="V126" s="209"/>
      <c r="W126" s="205"/>
      <c r="X126" s="206"/>
      <c r="Y126" s="226"/>
      <c r="Z126" s="207"/>
      <c r="AA126" s="168">
        <f t="shared" si="37"/>
        <v>-15</v>
      </c>
      <c r="AB126" s="168"/>
      <c r="AC126" s="168">
        <f t="shared" si="42"/>
        <v>-15</v>
      </c>
      <c r="AD126" s="529"/>
      <c r="AE126" s="255"/>
      <c r="AF126" s="255"/>
      <c r="AG126" s="255"/>
      <c r="AH126" s="255"/>
      <c r="AI126" s="256"/>
      <c r="AJ126" s="256"/>
      <c r="AK126" s="255"/>
      <c r="AL126" s="255"/>
      <c r="AM126" s="175">
        <f t="shared" si="43"/>
        <v>0</v>
      </c>
      <c r="AN126" s="176" t="s">
        <v>331</v>
      </c>
      <c r="AO126" s="177"/>
      <c r="AP126" s="189"/>
      <c r="AQ126" s="179"/>
      <c r="AR126" s="257"/>
      <c r="AS126" s="124"/>
      <c r="AT126" s="181">
        <f t="shared" si="39"/>
        <v>0</v>
      </c>
      <c r="AU126" s="182">
        <f t="shared" si="40"/>
        <v>0</v>
      </c>
      <c r="AV126" s="167">
        <f t="shared" si="24"/>
        <v>0</v>
      </c>
      <c r="AX126" s="247"/>
      <c r="BO126" s="159"/>
      <c r="BP126" s="160"/>
      <c r="BQ126" s="131"/>
      <c r="BR126" s="132"/>
      <c r="BS126" s="258"/>
      <c r="BT126" s="259"/>
      <c r="BU126" s="260"/>
    </row>
    <row r="127" spans="1:73" s="238" customFormat="1" ht="51" customHeight="1">
      <c r="A127" s="537"/>
      <c r="B127" s="267">
        <v>3</v>
      </c>
      <c r="C127" s="314"/>
      <c r="D127" s="538" t="s">
        <v>86</v>
      </c>
      <c r="E127" s="232" t="s">
        <v>87</v>
      </c>
      <c r="F127" s="250" t="s">
        <v>88</v>
      </c>
      <c r="G127" s="233"/>
      <c r="H127" s="205"/>
      <c r="I127" s="253"/>
      <c r="J127" s="205"/>
      <c r="K127" s="207"/>
      <c r="L127" s="207"/>
      <c r="M127" s="207"/>
      <c r="N127" s="207"/>
      <c r="O127" s="207"/>
      <c r="P127" s="207"/>
      <c r="Q127" s="206"/>
      <c r="R127" s="207"/>
      <c r="S127" s="208"/>
      <c r="T127" s="162" t="s">
        <v>330</v>
      </c>
      <c r="U127" s="205">
        <v>26</v>
      </c>
      <c r="V127" s="209"/>
      <c r="W127" s="205">
        <v>13</v>
      </c>
      <c r="X127" s="206">
        <v>5.6</v>
      </c>
      <c r="Y127" s="172">
        <f>ROUND(U127*W127/60,1)</f>
        <v>5.6</v>
      </c>
      <c r="Z127" s="207"/>
      <c r="AA127" s="168">
        <f t="shared" si="37"/>
        <v>5.6</v>
      </c>
      <c r="AB127" s="168"/>
      <c r="AC127" s="168">
        <f t="shared" si="42"/>
        <v>5.6</v>
      </c>
      <c r="AD127" s="211"/>
      <c r="AE127" s="239"/>
      <c r="AF127" s="239"/>
      <c r="AG127" s="239"/>
      <c r="AH127" s="239"/>
      <c r="AI127" s="240"/>
      <c r="AJ127" s="240"/>
      <c r="AK127" s="239"/>
      <c r="AL127" s="239"/>
      <c r="AM127" s="175">
        <f t="shared" si="43"/>
        <v>0</v>
      </c>
      <c r="AN127" s="176" t="s">
        <v>331</v>
      </c>
      <c r="AO127" s="177">
        <v>27</v>
      </c>
      <c r="AP127" s="189"/>
      <c r="AQ127" s="179">
        <v>2</v>
      </c>
      <c r="AR127" s="241">
        <v>0.9</v>
      </c>
      <c r="AS127" s="124"/>
      <c r="AT127" s="181">
        <f t="shared" si="39"/>
        <v>-4.699999999999999</v>
      </c>
      <c r="AU127" s="182">
        <f t="shared" si="40"/>
        <v>0</v>
      </c>
      <c r="AV127" s="167">
        <f t="shared" si="24"/>
        <v>-4.699999999999999</v>
      </c>
      <c r="AX127" s="229"/>
      <c r="BO127" s="159"/>
      <c r="BP127" s="160"/>
      <c r="BQ127" s="131"/>
      <c r="BR127" s="132"/>
      <c r="BS127" s="242"/>
      <c r="BT127" s="243"/>
      <c r="BU127" s="244"/>
    </row>
    <row r="128" spans="1:73" s="254" customFormat="1" ht="75" customHeight="1">
      <c r="A128" s="539">
        <v>1</v>
      </c>
      <c r="B128" s="267">
        <v>3</v>
      </c>
      <c r="C128" s="314"/>
      <c r="D128" s="538" t="s">
        <v>89</v>
      </c>
      <c r="E128" s="232" t="s">
        <v>90</v>
      </c>
      <c r="F128" s="250" t="s">
        <v>91</v>
      </c>
      <c r="G128" s="540"/>
      <c r="H128" s="541"/>
      <c r="I128" s="290"/>
      <c r="J128" s="541"/>
      <c r="K128" s="251"/>
      <c r="L128" s="251"/>
      <c r="M128" s="251"/>
      <c r="N128" s="207"/>
      <c r="O128" s="207"/>
      <c r="P128" s="207"/>
      <c r="Q128" s="206"/>
      <c r="R128" s="251"/>
      <c r="S128" s="208"/>
      <c r="T128" s="162" t="s">
        <v>330</v>
      </c>
      <c r="U128" s="205">
        <v>61</v>
      </c>
      <c r="V128" s="209"/>
      <c r="W128" s="205">
        <v>7</v>
      </c>
      <c r="X128" s="206">
        <v>7.1</v>
      </c>
      <c r="Y128" s="226">
        <v>7.1</v>
      </c>
      <c r="Z128" s="207"/>
      <c r="AA128" s="168">
        <f t="shared" si="37"/>
        <v>7.1</v>
      </c>
      <c r="AB128" s="168"/>
      <c r="AC128" s="168">
        <f t="shared" si="42"/>
        <v>7.1</v>
      </c>
      <c r="AD128" s="211"/>
      <c r="AE128" s="255"/>
      <c r="AF128" s="255"/>
      <c r="AG128" s="255"/>
      <c r="AH128" s="255"/>
      <c r="AI128" s="256"/>
      <c r="AJ128" s="256"/>
      <c r="AK128" s="255"/>
      <c r="AL128" s="255"/>
      <c r="AM128" s="175">
        <f t="shared" si="43"/>
        <v>0</v>
      </c>
      <c r="AN128" s="176" t="s">
        <v>331</v>
      </c>
      <c r="AO128" s="177">
        <v>61</v>
      </c>
      <c r="AP128" s="189"/>
      <c r="AQ128" s="179">
        <v>7</v>
      </c>
      <c r="AR128" s="257">
        <v>7.1</v>
      </c>
      <c r="AS128" s="124"/>
      <c r="AT128" s="181">
        <f t="shared" si="39"/>
        <v>0</v>
      </c>
      <c r="AU128" s="182">
        <f t="shared" si="40"/>
        <v>0</v>
      </c>
      <c r="AV128" s="167">
        <f t="shared" si="24"/>
        <v>0</v>
      </c>
      <c r="AX128" s="247"/>
      <c r="BO128" s="159"/>
      <c r="BP128" s="160"/>
      <c r="BQ128" s="131"/>
      <c r="BR128" s="132"/>
      <c r="BS128" s="258"/>
      <c r="BT128" s="259"/>
      <c r="BU128" s="260"/>
    </row>
    <row r="129" spans="1:73" s="130" customFormat="1" ht="57.75" customHeight="1">
      <c r="A129" s="80">
        <v>6</v>
      </c>
      <c r="B129" s="111" t="s">
        <v>470</v>
      </c>
      <c r="C129" s="542"/>
      <c r="D129" s="162" t="s">
        <v>92</v>
      </c>
      <c r="E129" s="365" t="s">
        <v>93</v>
      </c>
      <c r="F129" s="224" t="s">
        <v>560</v>
      </c>
      <c r="G129" s="543" t="s">
        <v>335</v>
      </c>
      <c r="H129" s="543">
        <v>30</v>
      </c>
      <c r="I129" s="543" t="s">
        <v>94</v>
      </c>
      <c r="J129" s="543">
        <v>4</v>
      </c>
      <c r="K129" s="544">
        <v>2</v>
      </c>
      <c r="L129" s="544"/>
      <c r="M129" s="543"/>
      <c r="N129" s="515"/>
      <c r="O129" s="515"/>
      <c r="P129" s="515"/>
      <c r="Q129" s="545"/>
      <c r="R129" s="546"/>
      <c r="S129" s="208">
        <f>Q129-K129</f>
        <v>-2</v>
      </c>
      <c r="T129" s="162" t="s">
        <v>330</v>
      </c>
      <c r="U129" s="217"/>
      <c r="V129" s="225"/>
      <c r="W129" s="217"/>
      <c r="X129" s="206">
        <v>1.8</v>
      </c>
      <c r="Y129" s="226">
        <v>1.8</v>
      </c>
      <c r="Z129" s="210"/>
      <c r="AA129" s="168">
        <f t="shared" si="37"/>
        <v>1.8</v>
      </c>
      <c r="AB129" s="168"/>
      <c r="AC129" s="168">
        <f t="shared" si="42"/>
        <v>1.8</v>
      </c>
      <c r="AD129" s="211">
        <f>Q129</f>
        <v>0</v>
      </c>
      <c r="AE129" s="518"/>
      <c r="AI129" s="133"/>
      <c r="AJ129" s="133"/>
      <c r="AM129" s="175">
        <f t="shared" si="43"/>
        <v>0</v>
      </c>
      <c r="AN129" s="176" t="s">
        <v>331</v>
      </c>
      <c r="AO129" s="177"/>
      <c r="AP129" s="189"/>
      <c r="AQ129" s="179"/>
      <c r="AR129" s="180">
        <v>1.8</v>
      </c>
      <c r="AS129" s="124"/>
      <c r="AT129" s="181">
        <f t="shared" si="39"/>
        <v>0</v>
      </c>
      <c r="AU129" s="182">
        <f t="shared" si="40"/>
        <v>0</v>
      </c>
      <c r="AV129" s="167">
        <f t="shared" si="24"/>
        <v>0</v>
      </c>
      <c r="AX129" s="547"/>
      <c r="BO129" s="159"/>
      <c r="BP129" s="160"/>
      <c r="BQ129" s="131"/>
      <c r="BR129" s="132"/>
      <c r="BS129" s="133"/>
      <c r="BT129" s="548"/>
      <c r="BU129" s="549"/>
    </row>
    <row r="130" spans="1:73" s="132" customFormat="1" ht="46.5" customHeight="1">
      <c r="A130" s="132">
        <v>3</v>
      </c>
      <c r="B130" s="137" t="s">
        <v>470</v>
      </c>
      <c r="C130" s="248"/>
      <c r="D130" s="166" t="s">
        <v>95</v>
      </c>
      <c r="E130" s="365" t="s">
        <v>96</v>
      </c>
      <c r="F130" s="550" t="s">
        <v>97</v>
      </c>
      <c r="G130" s="166"/>
      <c r="H130" s="166"/>
      <c r="I130" s="166"/>
      <c r="J130" s="166"/>
      <c r="K130" s="168"/>
      <c r="L130" s="168"/>
      <c r="M130" s="166"/>
      <c r="N130" s="166"/>
      <c r="O130" s="166"/>
      <c r="P130" s="166"/>
      <c r="Q130" s="167"/>
      <c r="R130" s="168"/>
      <c r="S130" s="117"/>
      <c r="T130" s="162" t="s">
        <v>330</v>
      </c>
      <c r="U130" s="169">
        <v>30</v>
      </c>
      <c r="V130" s="170"/>
      <c r="W130" s="169">
        <v>1</v>
      </c>
      <c r="X130" s="167">
        <v>0.5</v>
      </c>
      <c r="Y130" s="172">
        <f>ROUND(U130*W130/60,1)</f>
        <v>0.5</v>
      </c>
      <c r="Z130" s="168"/>
      <c r="AA130" s="168">
        <f t="shared" si="37"/>
        <v>0.5</v>
      </c>
      <c r="AB130" s="168"/>
      <c r="AC130" s="168">
        <f t="shared" si="42"/>
        <v>0.5</v>
      </c>
      <c r="AD130" s="149"/>
      <c r="AE130" s="149"/>
      <c r="AI130" s="132" t="s">
        <v>98</v>
      </c>
      <c r="AJ130" s="551">
        <v>39191</v>
      </c>
      <c r="AM130" s="175">
        <f t="shared" si="43"/>
        <v>0</v>
      </c>
      <c r="AN130" s="176" t="s">
        <v>331</v>
      </c>
      <c r="AO130" s="177">
        <v>21</v>
      </c>
      <c r="AP130" s="189"/>
      <c r="AQ130" s="179">
        <v>1</v>
      </c>
      <c r="AR130" s="180">
        <v>0.4</v>
      </c>
      <c r="AS130" s="124"/>
      <c r="AT130" s="181">
        <f t="shared" si="39"/>
        <v>-0.09999999999999998</v>
      </c>
      <c r="AU130" s="182">
        <f t="shared" si="40"/>
        <v>0</v>
      </c>
      <c r="AV130" s="167">
        <f t="shared" si="24"/>
        <v>-0.09999999999999998</v>
      </c>
      <c r="AX130" s="117"/>
      <c r="BO130" s="159"/>
      <c r="BP130" s="160"/>
      <c r="BQ130" s="131"/>
      <c r="BS130" s="133"/>
      <c r="BT130" s="134"/>
      <c r="BU130" s="135"/>
    </row>
    <row r="131" spans="1:73" s="80" customFormat="1" ht="47.25" customHeight="1">
      <c r="A131" s="80">
        <v>3</v>
      </c>
      <c r="B131" s="111" t="s">
        <v>470</v>
      </c>
      <c r="C131" s="524"/>
      <c r="D131" s="162" t="s">
        <v>99</v>
      </c>
      <c r="E131" s="365" t="s">
        <v>100</v>
      </c>
      <c r="F131" s="274" t="s">
        <v>101</v>
      </c>
      <c r="G131" s="162"/>
      <c r="H131" s="162"/>
      <c r="I131" s="162"/>
      <c r="J131" s="162"/>
      <c r="K131" s="165"/>
      <c r="L131" s="165"/>
      <c r="M131" s="162"/>
      <c r="N131" s="166"/>
      <c r="O131" s="166"/>
      <c r="P131" s="166"/>
      <c r="Q131" s="206"/>
      <c r="R131" s="168"/>
      <c r="S131" s="208"/>
      <c r="T131" s="162" t="s">
        <v>330</v>
      </c>
      <c r="U131" s="205">
        <v>6</v>
      </c>
      <c r="V131" s="209"/>
      <c r="W131" s="205">
        <v>2</v>
      </c>
      <c r="X131" s="552">
        <v>0.2</v>
      </c>
      <c r="Y131" s="172">
        <f>ROUND(U131*W131/60,1)</f>
        <v>0.2</v>
      </c>
      <c r="Z131" s="522"/>
      <c r="AA131" s="168">
        <f t="shared" si="37"/>
        <v>0.2</v>
      </c>
      <c r="AB131" s="168"/>
      <c r="AC131" s="168">
        <f t="shared" si="42"/>
        <v>0.2</v>
      </c>
      <c r="AD131" s="211"/>
      <c r="AE131" s="553"/>
      <c r="AI131" s="174"/>
      <c r="AJ131" s="174"/>
      <c r="AM131" s="175">
        <f t="shared" si="43"/>
        <v>0</v>
      </c>
      <c r="AN131" s="176" t="s">
        <v>331</v>
      </c>
      <c r="AO131" s="177">
        <v>5</v>
      </c>
      <c r="AP131" s="189"/>
      <c r="AQ131" s="179">
        <v>2</v>
      </c>
      <c r="AR131" s="180">
        <v>0.2</v>
      </c>
      <c r="AS131" s="124"/>
      <c r="AT131" s="181">
        <f t="shared" si="39"/>
        <v>0</v>
      </c>
      <c r="AU131" s="182">
        <f t="shared" si="40"/>
        <v>0</v>
      </c>
      <c r="AV131" s="167">
        <f t="shared" si="24"/>
        <v>0</v>
      </c>
      <c r="AX131" s="110"/>
      <c r="BO131" s="159"/>
      <c r="BP131" s="160"/>
      <c r="BQ131" s="131"/>
      <c r="BR131" s="132"/>
      <c r="BS131" s="133"/>
      <c r="BT131" s="134"/>
      <c r="BU131" s="135"/>
    </row>
    <row r="132" spans="2:73" s="80" customFormat="1" ht="97.5" customHeight="1">
      <c r="B132" s="111" t="s">
        <v>470</v>
      </c>
      <c r="C132" s="524" t="s">
        <v>470</v>
      </c>
      <c r="D132" s="162" t="s">
        <v>102</v>
      </c>
      <c r="E132" s="163" t="s">
        <v>103</v>
      </c>
      <c r="F132" s="224" t="s">
        <v>104</v>
      </c>
      <c r="G132" s="162" t="s">
        <v>335</v>
      </c>
      <c r="H132" s="162">
        <v>24</v>
      </c>
      <c r="I132" s="162" t="s">
        <v>105</v>
      </c>
      <c r="J132" s="162">
        <v>104</v>
      </c>
      <c r="K132" s="165"/>
      <c r="L132" s="165">
        <v>41.6</v>
      </c>
      <c r="M132" s="162" t="s">
        <v>335</v>
      </c>
      <c r="N132" s="166">
        <v>24</v>
      </c>
      <c r="O132" s="166" t="s">
        <v>105</v>
      </c>
      <c r="P132" s="166">
        <v>104</v>
      </c>
      <c r="Q132" s="167"/>
      <c r="R132" s="168">
        <v>41.6</v>
      </c>
      <c r="S132" s="208">
        <f>Q132-K132</f>
        <v>0</v>
      </c>
      <c r="T132" s="162" t="s">
        <v>330</v>
      </c>
      <c r="U132" s="554">
        <v>24</v>
      </c>
      <c r="V132" s="170" t="s">
        <v>105</v>
      </c>
      <c r="W132" s="554">
        <v>101</v>
      </c>
      <c r="X132" s="218"/>
      <c r="Y132" s="555"/>
      <c r="Z132" s="206">
        <v>40.4</v>
      </c>
      <c r="AA132" s="168"/>
      <c r="AB132" s="168">
        <f aca="true" t="shared" si="45" ref="AB132:AB138">Z132-R132</f>
        <v>-1.2000000000000028</v>
      </c>
      <c r="AC132" s="168">
        <f t="shared" si="42"/>
        <v>-1.2000000000000028</v>
      </c>
      <c r="AD132" s="211"/>
      <c r="AE132" s="128"/>
      <c r="AI132" s="174"/>
      <c r="AJ132" s="174"/>
      <c r="AM132" s="175">
        <f t="shared" si="43"/>
        <v>0</v>
      </c>
      <c r="AN132" s="176" t="s">
        <v>331</v>
      </c>
      <c r="AO132" s="177">
        <v>24</v>
      </c>
      <c r="AP132" s="178" t="s">
        <v>105</v>
      </c>
      <c r="AQ132" s="179">
        <v>99</v>
      </c>
      <c r="AR132" s="180"/>
      <c r="AS132" s="124">
        <v>39.6</v>
      </c>
      <c r="AT132" s="181">
        <f t="shared" si="39"/>
        <v>0</v>
      </c>
      <c r="AU132" s="182">
        <f t="shared" si="40"/>
        <v>-0.7999999999999972</v>
      </c>
      <c r="AV132" s="167">
        <f t="shared" si="24"/>
        <v>-0.7999999999999972</v>
      </c>
      <c r="AX132" s="110"/>
      <c r="BO132" s="159"/>
      <c r="BP132" s="160"/>
      <c r="BQ132" s="330">
        <f>ROUND(AO132*AQ132/60,1)</f>
        <v>39.6</v>
      </c>
      <c r="BR132" s="198"/>
      <c r="BS132" s="221">
        <f>AS132-BQ132</f>
        <v>0</v>
      </c>
      <c r="BT132" s="134"/>
      <c r="BU132" s="331">
        <f>AS132</f>
        <v>39.6</v>
      </c>
    </row>
    <row r="133" spans="1:73" ht="38.25" customHeight="1">
      <c r="A133" s="337"/>
      <c r="B133" s="337"/>
      <c r="C133" s="338" t="s">
        <v>470</v>
      </c>
      <c r="D133" s="162" t="s">
        <v>106</v>
      </c>
      <c r="E133" s="163" t="s">
        <v>107</v>
      </c>
      <c r="F133" s="213" t="s">
        <v>108</v>
      </c>
      <c r="G133" s="339"/>
      <c r="H133" s="340"/>
      <c r="I133" s="339"/>
      <c r="J133" s="353"/>
      <c r="K133" s="353"/>
      <c r="L133" s="342"/>
      <c r="M133" s="162" t="s">
        <v>335</v>
      </c>
      <c r="N133" s="269">
        <v>20</v>
      </c>
      <c r="O133" s="343" t="s">
        <v>105</v>
      </c>
      <c r="P133" s="269">
        <v>100</v>
      </c>
      <c r="Q133" s="187"/>
      <c r="R133" s="168">
        <f>ROUND(N133*P133/60,1)</f>
        <v>33.3</v>
      </c>
      <c r="S133" s="56"/>
      <c r="T133" s="162" t="s">
        <v>330</v>
      </c>
      <c r="U133" s="556">
        <v>20</v>
      </c>
      <c r="V133" s="170" t="s">
        <v>105</v>
      </c>
      <c r="W133" s="345">
        <v>99</v>
      </c>
      <c r="X133" s="346"/>
      <c r="Y133" s="347"/>
      <c r="Z133" s="363">
        <v>33</v>
      </c>
      <c r="AA133" s="168"/>
      <c r="AB133" s="168">
        <f t="shared" si="45"/>
        <v>-0.29999999999999716</v>
      </c>
      <c r="AC133" s="168">
        <f t="shared" si="42"/>
        <v>-0.29999999999999716</v>
      </c>
      <c r="AM133" s="175">
        <f t="shared" si="43"/>
        <v>0</v>
      </c>
      <c r="AN133" s="176" t="s">
        <v>331</v>
      </c>
      <c r="AO133" s="177">
        <v>20</v>
      </c>
      <c r="AP133" s="178" t="s">
        <v>105</v>
      </c>
      <c r="AQ133" s="179">
        <v>96</v>
      </c>
      <c r="AR133" s="349"/>
      <c r="AS133" s="124">
        <v>32</v>
      </c>
      <c r="AT133" s="181">
        <f t="shared" si="39"/>
        <v>0</v>
      </c>
      <c r="AU133" s="182">
        <f t="shared" si="40"/>
        <v>-1</v>
      </c>
      <c r="AV133" s="167">
        <f t="shared" si="24"/>
        <v>-1</v>
      </c>
      <c r="AX133" s="49"/>
      <c r="BO133" s="159">
        <f t="shared" si="35"/>
        <v>32</v>
      </c>
      <c r="BP133" s="160">
        <f t="shared" si="25"/>
        <v>-32</v>
      </c>
      <c r="BQ133" s="330">
        <f>ROUND(AO133*AQ133/60,1)</f>
        <v>32</v>
      </c>
      <c r="BR133" s="198"/>
      <c r="BS133" s="221">
        <f>AS133-BQ133</f>
        <v>0</v>
      </c>
      <c r="BU133" s="331">
        <f>AS133</f>
        <v>32</v>
      </c>
    </row>
    <row r="134" spans="1:73" ht="130.5" customHeight="1">
      <c r="A134" s="337"/>
      <c r="B134" s="337" t="s">
        <v>470</v>
      </c>
      <c r="C134" s="338" t="s">
        <v>470</v>
      </c>
      <c r="D134" s="162" t="s">
        <v>109</v>
      </c>
      <c r="E134" s="163" t="s">
        <v>110</v>
      </c>
      <c r="F134" s="213" t="s">
        <v>111</v>
      </c>
      <c r="G134" s="339"/>
      <c r="H134" s="340"/>
      <c r="I134" s="339"/>
      <c r="J134" s="353"/>
      <c r="K134" s="353"/>
      <c r="L134" s="342"/>
      <c r="M134" s="162" t="s">
        <v>335</v>
      </c>
      <c r="N134" s="269">
        <v>20</v>
      </c>
      <c r="O134" s="343" t="s">
        <v>397</v>
      </c>
      <c r="P134" s="269">
        <v>50</v>
      </c>
      <c r="Q134" s="187"/>
      <c r="R134" s="168">
        <f>ROUND(N134*P134/60,1)</f>
        <v>16.7</v>
      </c>
      <c r="S134" s="56"/>
      <c r="T134" s="162" t="s">
        <v>330</v>
      </c>
      <c r="U134" s="556">
        <v>20</v>
      </c>
      <c r="V134" s="170" t="s">
        <v>397</v>
      </c>
      <c r="W134" s="345">
        <v>51</v>
      </c>
      <c r="X134" s="346"/>
      <c r="Y134" s="347"/>
      <c r="Z134" s="363">
        <v>17</v>
      </c>
      <c r="AA134" s="168"/>
      <c r="AB134" s="168">
        <f t="shared" si="45"/>
        <v>0.3000000000000007</v>
      </c>
      <c r="AC134" s="168">
        <f t="shared" si="42"/>
        <v>0.3000000000000007</v>
      </c>
      <c r="AM134" s="175">
        <f t="shared" si="43"/>
        <v>0</v>
      </c>
      <c r="AN134" s="176" t="s">
        <v>331</v>
      </c>
      <c r="AO134" s="177">
        <v>19</v>
      </c>
      <c r="AP134" s="178" t="s">
        <v>397</v>
      </c>
      <c r="AQ134" s="179">
        <v>50</v>
      </c>
      <c r="AR134" s="349"/>
      <c r="AS134" s="124">
        <v>15.8</v>
      </c>
      <c r="AT134" s="181">
        <f t="shared" si="39"/>
        <v>0</v>
      </c>
      <c r="AU134" s="182">
        <f t="shared" si="40"/>
        <v>-1.1999999999999993</v>
      </c>
      <c r="AV134" s="167">
        <f t="shared" si="24"/>
        <v>-1.1999999999999993</v>
      </c>
      <c r="AX134" s="49"/>
      <c r="BO134" s="159">
        <f t="shared" si="35"/>
        <v>15.8</v>
      </c>
      <c r="BP134" s="160">
        <f t="shared" si="25"/>
        <v>-15.8</v>
      </c>
      <c r="BQ134" s="330">
        <f>ROUND(AO134*AQ134/60,1)</f>
        <v>15.8</v>
      </c>
      <c r="BR134" s="198"/>
      <c r="BS134" s="221">
        <f>AS134-BQ134</f>
        <v>0</v>
      </c>
      <c r="BU134" s="331">
        <f>AS134</f>
        <v>15.8</v>
      </c>
    </row>
    <row r="135" spans="1:73" ht="60.75" customHeight="1">
      <c r="A135" s="337"/>
      <c r="B135" s="337" t="s">
        <v>470</v>
      </c>
      <c r="C135" s="338" t="s">
        <v>470</v>
      </c>
      <c r="D135" s="162" t="s">
        <v>112</v>
      </c>
      <c r="E135" s="163" t="s">
        <v>113</v>
      </c>
      <c r="F135" s="224" t="s">
        <v>114</v>
      </c>
      <c r="G135" s="339"/>
      <c r="H135" s="340"/>
      <c r="I135" s="339"/>
      <c r="J135" s="353"/>
      <c r="K135" s="353"/>
      <c r="L135" s="342"/>
      <c r="M135" s="162" t="s">
        <v>335</v>
      </c>
      <c r="N135" s="269">
        <v>5</v>
      </c>
      <c r="O135" s="343" t="s">
        <v>115</v>
      </c>
      <c r="P135" s="269">
        <f>3*9*4+18</f>
        <v>126</v>
      </c>
      <c r="Q135" s="187"/>
      <c r="R135" s="168">
        <f>ROUND(N135*P135/60,1)</f>
        <v>10.5</v>
      </c>
      <c r="S135" s="56"/>
      <c r="T135" s="162" t="s">
        <v>330</v>
      </c>
      <c r="U135" s="556">
        <v>5</v>
      </c>
      <c r="V135" s="366"/>
      <c r="W135" s="345">
        <v>19</v>
      </c>
      <c r="X135" s="346"/>
      <c r="Y135" s="347"/>
      <c r="Z135" s="346">
        <v>1.6</v>
      </c>
      <c r="AA135" s="168"/>
      <c r="AB135" s="168">
        <f t="shared" si="45"/>
        <v>-8.9</v>
      </c>
      <c r="AC135" s="168">
        <f t="shared" si="42"/>
        <v>-8.9</v>
      </c>
      <c r="AE135" s="557">
        <f>SUM(R133:R135)</f>
        <v>60.5</v>
      </c>
      <c r="AM135" s="175">
        <f t="shared" si="43"/>
        <v>0</v>
      </c>
      <c r="AN135" s="176" t="s">
        <v>331</v>
      </c>
      <c r="AO135" s="177">
        <v>5</v>
      </c>
      <c r="AP135" s="189"/>
      <c r="AQ135" s="179">
        <v>19</v>
      </c>
      <c r="AR135" s="349"/>
      <c r="AS135" s="124">
        <v>1.6</v>
      </c>
      <c r="AT135" s="181">
        <f t="shared" si="39"/>
        <v>0</v>
      </c>
      <c r="AU135" s="182">
        <f t="shared" si="40"/>
        <v>0</v>
      </c>
      <c r="AV135" s="167">
        <f t="shared" si="24"/>
        <v>0</v>
      </c>
      <c r="AX135" s="49"/>
      <c r="BO135" s="159"/>
      <c r="BP135" s="160"/>
      <c r="BQ135" s="330">
        <f>ROUND(AO135*AQ135/60,1)</f>
        <v>1.6</v>
      </c>
      <c r="BR135" s="198"/>
      <c r="BS135" s="221">
        <f>AS135-BQ135</f>
        <v>0</v>
      </c>
      <c r="BU135" s="331">
        <f>AS135</f>
        <v>1.6</v>
      </c>
    </row>
    <row r="136" spans="1:71" ht="50.25" customHeight="1">
      <c r="A136" s="558"/>
      <c r="B136" s="337"/>
      <c r="C136" s="338"/>
      <c r="D136" s="162" t="s">
        <v>116</v>
      </c>
      <c r="E136" s="163" t="s">
        <v>117</v>
      </c>
      <c r="F136" s="224" t="s">
        <v>560</v>
      </c>
      <c r="G136" s="339"/>
      <c r="H136" s="340"/>
      <c r="I136" s="339"/>
      <c r="J136" s="353"/>
      <c r="K136" s="353"/>
      <c r="L136" s="342"/>
      <c r="M136" s="162"/>
      <c r="N136" s="269"/>
      <c r="O136" s="343"/>
      <c r="P136" s="269"/>
      <c r="Q136" s="187"/>
      <c r="R136" s="168"/>
      <c r="S136" s="56"/>
      <c r="T136" s="162"/>
      <c r="U136" s="559"/>
      <c r="V136" s="366"/>
      <c r="W136" s="345"/>
      <c r="X136" s="346"/>
      <c r="Y136" s="347"/>
      <c r="Z136" s="346">
        <f>100-28.1-0.4</f>
        <v>71.5</v>
      </c>
      <c r="AA136" s="168"/>
      <c r="AB136" s="168">
        <f t="shared" si="45"/>
        <v>71.5</v>
      </c>
      <c r="AC136" s="168">
        <f t="shared" si="42"/>
        <v>71.5</v>
      </c>
      <c r="AE136" s="557"/>
      <c r="AM136" s="175">
        <f t="shared" si="43"/>
        <v>0</v>
      </c>
      <c r="AN136" s="176" t="s">
        <v>331</v>
      </c>
      <c r="AO136" s="177"/>
      <c r="AP136" s="189"/>
      <c r="AQ136" s="179"/>
      <c r="AR136" s="349"/>
      <c r="AS136" s="124">
        <f>182-24</f>
        <v>158</v>
      </c>
      <c r="AT136" s="181">
        <f t="shared" si="39"/>
        <v>0</v>
      </c>
      <c r="AU136" s="182">
        <f t="shared" si="40"/>
        <v>86.5</v>
      </c>
      <c r="AV136" s="167">
        <f t="shared" si="24"/>
        <v>86.5</v>
      </c>
      <c r="AX136" s="49"/>
      <c r="BO136" s="159">
        <f t="shared" si="35"/>
        <v>0</v>
      </c>
      <c r="BP136" s="160">
        <f t="shared" si="25"/>
        <v>0</v>
      </c>
      <c r="BQ136" s="330">
        <v>206.7</v>
      </c>
      <c r="BR136" s="198"/>
      <c r="BS136" s="221">
        <v>158</v>
      </c>
    </row>
    <row r="137" spans="2:73" s="389" customFormat="1" ht="45" customHeight="1">
      <c r="B137" s="378"/>
      <c r="C137" s="379"/>
      <c r="D137" s="501" t="s">
        <v>549</v>
      </c>
      <c r="E137" s="380"/>
      <c r="F137" s="380"/>
      <c r="G137" s="381"/>
      <c r="H137" s="381"/>
      <c r="I137" s="381"/>
      <c r="J137" s="381"/>
      <c r="K137" s="382"/>
      <c r="L137" s="562">
        <v>100</v>
      </c>
      <c r="M137" s="381"/>
      <c r="N137" s="383"/>
      <c r="O137" s="383"/>
      <c r="P137" s="383"/>
      <c r="Q137" s="384"/>
      <c r="R137" s="168">
        <v>95.8</v>
      </c>
      <c r="S137" s="385"/>
      <c r="T137" s="162"/>
      <c r="U137" s="386"/>
      <c r="V137" s="387"/>
      <c r="W137" s="386"/>
      <c r="X137" s="383"/>
      <c r="Y137" s="388"/>
      <c r="Z137" s="383">
        <f>376+0.4</f>
        <v>376.4</v>
      </c>
      <c r="AA137" s="168"/>
      <c r="AB137" s="168">
        <f t="shared" si="45"/>
        <v>280.59999999999997</v>
      </c>
      <c r="AC137" s="168">
        <f t="shared" si="42"/>
        <v>280.59999999999997</v>
      </c>
      <c r="AD137" s="390"/>
      <c r="AE137" s="498" t="s">
        <v>118</v>
      </c>
      <c r="AF137" s="563" t="s">
        <v>119</v>
      </c>
      <c r="AG137" s="563"/>
      <c r="AH137" s="563"/>
      <c r="AI137" s="391"/>
      <c r="AJ137" s="391"/>
      <c r="AM137" s="175">
        <f t="shared" si="43"/>
        <v>0</v>
      </c>
      <c r="AN137" s="176"/>
      <c r="AO137" s="177"/>
      <c r="AP137" s="189"/>
      <c r="AQ137" s="179"/>
      <c r="AR137" s="180"/>
      <c r="AS137" s="124">
        <f>338.5+24</f>
        <v>362.5</v>
      </c>
      <c r="AT137" s="181">
        <f t="shared" si="39"/>
        <v>0</v>
      </c>
      <c r="AU137" s="182">
        <f t="shared" si="40"/>
        <v>-13.899999999999977</v>
      </c>
      <c r="AV137" s="167">
        <f t="shared" si="24"/>
        <v>-13.899999999999977</v>
      </c>
      <c r="AW137" s="564" t="s">
        <v>120</v>
      </c>
      <c r="AX137" s="377"/>
      <c r="AZ137" s="389">
        <f>Z137</f>
        <v>376.4</v>
      </c>
      <c r="BD137" s="393">
        <f>R137</f>
        <v>95.8</v>
      </c>
      <c r="BO137" s="159">
        <f t="shared" si="35"/>
        <v>0</v>
      </c>
      <c r="BP137" s="160">
        <f t="shared" si="25"/>
        <v>0</v>
      </c>
      <c r="BQ137" s="330">
        <v>338.5</v>
      </c>
      <c r="BR137" s="198"/>
      <c r="BS137" s="221">
        <f>AS137-BQ137</f>
        <v>24</v>
      </c>
      <c r="BT137" s="394">
        <f>AS137</f>
        <v>362.5</v>
      </c>
      <c r="BU137" s="395"/>
    </row>
    <row r="138" spans="2:73" s="409" customFormat="1" ht="48" customHeight="1" thickBot="1">
      <c r="B138" s="398"/>
      <c r="C138" s="399"/>
      <c r="D138" s="400" t="s">
        <v>121</v>
      </c>
      <c r="E138" s="401"/>
      <c r="F138" s="401"/>
      <c r="G138" s="400"/>
      <c r="H138" s="400"/>
      <c r="I138" s="400"/>
      <c r="J138" s="400">
        <f>SUM(J108:J137)</f>
        <v>925</v>
      </c>
      <c r="K138" s="402">
        <f>SUM(K108:K137)</f>
        <v>393.7</v>
      </c>
      <c r="L138" s="402">
        <f>SUM(L108:L137)</f>
        <v>141.6</v>
      </c>
      <c r="M138" s="400"/>
      <c r="N138" s="403"/>
      <c r="O138" s="403"/>
      <c r="P138" s="403"/>
      <c r="Q138" s="404">
        <f>SUM(Q108:Q137)</f>
        <v>391.70000000000005</v>
      </c>
      <c r="R138" s="404">
        <f>SUM(R108:R137)</f>
        <v>197.9</v>
      </c>
      <c r="S138" s="565"/>
      <c r="T138" s="566"/>
      <c r="U138" s="408"/>
      <c r="V138" s="566"/>
      <c r="W138" s="408"/>
      <c r="X138" s="405">
        <f>SUM(X108:X137)</f>
        <v>394.8</v>
      </c>
      <c r="Y138" s="404">
        <f>SUM(Y108:Y137)</f>
        <v>389.25000000000006</v>
      </c>
      <c r="Z138" s="404">
        <f>SUM(Z108:Z137)</f>
        <v>539.9</v>
      </c>
      <c r="AA138" s="404">
        <f>X138-Q138</f>
        <v>3.099999999999966</v>
      </c>
      <c r="AB138" s="404">
        <f t="shared" si="45"/>
        <v>342</v>
      </c>
      <c r="AC138" s="404">
        <f t="shared" si="42"/>
        <v>345.09999999999997</v>
      </c>
      <c r="AD138" s="410"/>
      <c r="AE138" s="410"/>
      <c r="AI138" s="411"/>
      <c r="AJ138" s="411"/>
      <c r="AM138" s="175">
        <f t="shared" si="43"/>
        <v>5.5499999999999545</v>
      </c>
      <c r="AN138" s="412"/>
      <c r="AO138" s="413"/>
      <c r="AP138" s="414"/>
      <c r="AQ138" s="415"/>
      <c r="AR138" s="416">
        <f>SUM(AR108:AR137)</f>
        <v>386</v>
      </c>
      <c r="AS138" s="416">
        <f>SUM(AS108:AS137)</f>
        <v>609.5</v>
      </c>
      <c r="AT138" s="417">
        <f t="shared" si="39"/>
        <v>-8.800000000000011</v>
      </c>
      <c r="AU138" s="418">
        <f t="shared" si="40"/>
        <v>69.60000000000002</v>
      </c>
      <c r="AV138" s="404">
        <f t="shared" si="24"/>
        <v>60.80000000000001</v>
      </c>
      <c r="AW138" s="567"/>
      <c r="AX138" s="419">
        <f>X138</f>
        <v>394.8</v>
      </c>
      <c r="AZ138" s="420">
        <f>Z138</f>
        <v>539.9</v>
      </c>
      <c r="BA138" s="420">
        <f>AX138+AZ138</f>
        <v>934.7</v>
      </c>
      <c r="BB138" s="421">
        <f>Q138</f>
        <v>391.70000000000005</v>
      </c>
      <c r="BC138" s="421">
        <f>R138</f>
        <v>197.9</v>
      </c>
      <c r="BD138" s="422">
        <f>Q138+R138</f>
        <v>589.6</v>
      </c>
      <c r="BE138" s="422">
        <f>BA138-BD138</f>
        <v>345.1</v>
      </c>
      <c r="BO138" s="159">
        <f t="shared" si="35"/>
        <v>0</v>
      </c>
      <c r="BP138" s="160"/>
      <c r="BQ138" s="131"/>
      <c r="BR138" s="132"/>
      <c r="BS138" s="423">
        <f>SUM(BS108:BS137)</f>
        <v>182</v>
      </c>
      <c r="BT138" s="423">
        <f>SUM(BT108:BT137)</f>
        <v>362.5</v>
      </c>
      <c r="BU138" s="568">
        <f>SUM(BU108:BU137)</f>
        <v>88.99999999999999</v>
      </c>
    </row>
    <row r="139" spans="1:73" s="409" customFormat="1" ht="38.25" customHeight="1" thickBot="1">
      <c r="A139" s="569"/>
      <c r="B139" s="570"/>
      <c r="C139" s="571"/>
      <c r="D139" s="428" t="s">
        <v>122</v>
      </c>
      <c r="E139" s="428"/>
      <c r="F139" s="428"/>
      <c r="G139" s="428"/>
      <c r="H139" s="428"/>
      <c r="I139" s="428"/>
      <c r="J139" s="428"/>
      <c r="K139" s="428"/>
      <c r="L139" s="428"/>
      <c r="M139" s="429"/>
      <c r="N139" s="429"/>
      <c r="O139" s="429"/>
      <c r="P139" s="429"/>
      <c r="Q139" s="429"/>
      <c r="R139" s="429"/>
      <c r="S139" s="503"/>
      <c r="T139" s="504"/>
      <c r="U139" s="505"/>
      <c r="V139" s="504"/>
      <c r="W139" s="505"/>
      <c r="X139" s="193"/>
      <c r="Y139" s="188"/>
      <c r="Z139" s="193"/>
      <c r="AA139" s="168"/>
      <c r="AB139" s="168"/>
      <c r="AC139" s="168"/>
      <c r="AD139" s="572"/>
      <c r="AE139" s="572"/>
      <c r="AF139" s="572"/>
      <c r="AG139" s="572"/>
      <c r="AH139" s="572"/>
      <c r="AI139" s="573"/>
      <c r="AJ139" s="573"/>
      <c r="AK139" s="572"/>
      <c r="AL139" s="572"/>
      <c r="AM139" s="122">
        <f t="shared" si="43"/>
        <v>0</v>
      </c>
      <c r="AN139" s="176"/>
      <c r="AO139" s="177"/>
      <c r="AP139" s="189"/>
      <c r="AQ139" s="179"/>
      <c r="AR139" s="180"/>
      <c r="AS139" s="124"/>
      <c r="AT139" s="181">
        <f t="shared" si="39"/>
        <v>0</v>
      </c>
      <c r="AU139" s="181">
        <f t="shared" si="40"/>
        <v>0</v>
      </c>
      <c r="AV139" s="167">
        <f t="shared" si="24"/>
        <v>0</v>
      </c>
      <c r="AW139" s="567"/>
      <c r="AX139" s="572"/>
      <c r="BO139" s="159">
        <f t="shared" si="35"/>
        <v>0</v>
      </c>
      <c r="BP139" s="160">
        <f t="shared" si="25"/>
        <v>0</v>
      </c>
      <c r="BQ139" s="131"/>
      <c r="BR139" s="132"/>
      <c r="BS139" s="423"/>
      <c r="BT139" s="574"/>
      <c r="BU139" s="575"/>
    </row>
    <row r="140" spans="1:73" s="80" customFormat="1" ht="75" customHeight="1">
      <c r="A140" s="80">
        <v>6</v>
      </c>
      <c r="B140" s="430" t="s">
        <v>557</v>
      </c>
      <c r="C140" s="576" t="s">
        <v>557</v>
      </c>
      <c r="D140" s="139" t="s">
        <v>123</v>
      </c>
      <c r="E140" s="577" t="s">
        <v>124</v>
      </c>
      <c r="F140" s="274" t="s">
        <v>125</v>
      </c>
      <c r="G140" s="139" t="s">
        <v>335</v>
      </c>
      <c r="H140" s="139">
        <v>25</v>
      </c>
      <c r="I140" s="139" t="s">
        <v>424</v>
      </c>
      <c r="J140" s="139">
        <v>48</v>
      </c>
      <c r="K140" s="433">
        <v>20</v>
      </c>
      <c r="L140" s="433"/>
      <c r="M140" s="139" t="s">
        <v>335</v>
      </c>
      <c r="N140" s="434">
        <v>25</v>
      </c>
      <c r="O140" s="434" t="s">
        <v>424</v>
      </c>
      <c r="P140" s="434">
        <v>48</v>
      </c>
      <c r="Q140" s="158">
        <v>20</v>
      </c>
      <c r="R140" s="435"/>
      <c r="S140" s="512">
        <f aca="true" t="shared" si="46" ref="S140:S145">Q140-K140</f>
        <v>0</v>
      </c>
      <c r="T140" s="139" t="s">
        <v>330</v>
      </c>
      <c r="U140" s="509">
        <v>25</v>
      </c>
      <c r="V140" s="578" t="s">
        <v>126</v>
      </c>
      <c r="W140" s="509">
        <v>43</v>
      </c>
      <c r="X140" s="510">
        <v>17.9</v>
      </c>
      <c r="Y140" s="440">
        <f>ROUND(U140*W140/60,1)</f>
        <v>17.9</v>
      </c>
      <c r="Z140" s="513"/>
      <c r="AA140" s="435">
        <f aca="true" t="shared" si="47" ref="AA140:AA170">X140-Q140</f>
        <v>-2.1000000000000014</v>
      </c>
      <c r="AB140" s="435"/>
      <c r="AC140" s="435">
        <f>AB140+AA140</f>
        <v>-2.1000000000000014</v>
      </c>
      <c r="AD140" s="211">
        <f aca="true" t="shared" si="48" ref="AD140:AD145">Q140</f>
        <v>20</v>
      </c>
      <c r="AE140" s="128"/>
      <c r="AI140" s="174"/>
      <c r="AJ140" s="174"/>
      <c r="AM140" s="175">
        <f t="shared" si="43"/>
        <v>0</v>
      </c>
      <c r="AN140" s="441" t="s">
        <v>331</v>
      </c>
      <c r="AO140" s="442">
        <v>24.3</v>
      </c>
      <c r="AP140" s="443" t="s">
        <v>65</v>
      </c>
      <c r="AQ140" s="444">
        <v>39</v>
      </c>
      <c r="AR140" s="152">
        <v>15.8</v>
      </c>
      <c r="AS140" s="155"/>
      <c r="AT140" s="156">
        <f t="shared" si="39"/>
        <v>-2.099999999999998</v>
      </c>
      <c r="AU140" s="157">
        <f t="shared" si="40"/>
        <v>0</v>
      </c>
      <c r="AV140" s="158">
        <f t="shared" si="24"/>
        <v>-2.099999999999998</v>
      </c>
      <c r="AW140" s="579"/>
      <c r="AX140" s="110"/>
      <c r="BO140" s="159">
        <f t="shared" si="35"/>
        <v>15.8</v>
      </c>
      <c r="BP140" s="160">
        <f t="shared" si="25"/>
        <v>0</v>
      </c>
      <c r="BQ140" s="131"/>
      <c r="BR140" s="132"/>
      <c r="BS140" s="133"/>
      <c r="BT140" s="134"/>
      <c r="BU140" s="135"/>
    </row>
    <row r="141" spans="1:73" s="80" customFormat="1" ht="53.25" customHeight="1">
      <c r="A141" s="80">
        <v>5</v>
      </c>
      <c r="B141" s="111" t="s">
        <v>557</v>
      </c>
      <c r="C141" s="215" t="s">
        <v>557</v>
      </c>
      <c r="D141" s="162" t="s">
        <v>127</v>
      </c>
      <c r="E141" s="163" t="s">
        <v>128</v>
      </c>
      <c r="F141" s="274" t="s">
        <v>129</v>
      </c>
      <c r="G141" s="162" t="s">
        <v>335</v>
      </c>
      <c r="H141" s="162">
        <v>20</v>
      </c>
      <c r="I141" s="162" t="s">
        <v>424</v>
      </c>
      <c r="J141" s="162">
        <v>52</v>
      </c>
      <c r="K141" s="165">
        <f>17.33-0.1</f>
        <v>17.229999999999997</v>
      </c>
      <c r="L141" s="165"/>
      <c r="M141" s="162" t="s">
        <v>335</v>
      </c>
      <c r="N141" s="166">
        <v>20</v>
      </c>
      <c r="O141" s="166" t="s">
        <v>424</v>
      </c>
      <c r="P141" s="166">
        <v>47</v>
      </c>
      <c r="Q141" s="167">
        <v>15.7</v>
      </c>
      <c r="R141" s="168"/>
      <c r="S141" s="208">
        <f t="shared" si="46"/>
        <v>-1.5299999999999976</v>
      </c>
      <c r="T141" s="162" t="s">
        <v>330</v>
      </c>
      <c r="U141" s="205">
        <v>25</v>
      </c>
      <c r="V141" s="209" t="s">
        <v>130</v>
      </c>
      <c r="W141" s="205">
        <v>44</v>
      </c>
      <c r="X141" s="206">
        <v>18.3</v>
      </c>
      <c r="Y141" s="171">
        <f>ROUND(U141*W141/60,1)</f>
        <v>18.3</v>
      </c>
      <c r="Z141" s="210"/>
      <c r="AA141" s="168">
        <f t="shared" si="47"/>
        <v>2.6000000000000014</v>
      </c>
      <c r="AB141" s="168"/>
      <c r="AC141" s="168">
        <f>AB141+AA141</f>
        <v>2.6000000000000014</v>
      </c>
      <c r="AD141" s="211">
        <f t="shared" si="48"/>
        <v>15.7</v>
      </c>
      <c r="AE141" s="128"/>
      <c r="AI141" s="174"/>
      <c r="AJ141" s="174"/>
      <c r="AM141" s="175">
        <f t="shared" si="43"/>
        <v>0</v>
      </c>
      <c r="AN141" s="176" t="s">
        <v>331</v>
      </c>
      <c r="AO141" s="177">
        <v>25</v>
      </c>
      <c r="AP141" s="189" t="s">
        <v>377</v>
      </c>
      <c r="AQ141" s="179">
        <v>44</v>
      </c>
      <c r="AR141" s="180">
        <v>18.3</v>
      </c>
      <c r="AS141" s="124"/>
      <c r="AT141" s="181">
        <f t="shared" si="39"/>
        <v>0</v>
      </c>
      <c r="AU141" s="182">
        <f t="shared" si="40"/>
        <v>0</v>
      </c>
      <c r="AV141" s="167">
        <f t="shared" si="24"/>
        <v>0</v>
      </c>
      <c r="AW141" s="579"/>
      <c r="AX141" s="110"/>
      <c r="BO141" s="159">
        <f t="shared" si="35"/>
        <v>18.3</v>
      </c>
      <c r="BP141" s="160">
        <f t="shared" si="25"/>
        <v>0</v>
      </c>
      <c r="BQ141" s="131"/>
      <c r="BR141" s="132"/>
      <c r="BS141" s="133"/>
      <c r="BT141" s="134"/>
      <c r="BU141" s="135"/>
    </row>
    <row r="142" spans="1:73" s="80" customFormat="1" ht="123" customHeight="1">
      <c r="A142" s="80">
        <v>2</v>
      </c>
      <c r="B142" s="111" t="s">
        <v>557</v>
      </c>
      <c r="C142" s="431" t="s">
        <v>557</v>
      </c>
      <c r="D142" s="162" t="s">
        <v>131</v>
      </c>
      <c r="E142" s="163" t="s">
        <v>132</v>
      </c>
      <c r="F142" s="213" t="s">
        <v>133</v>
      </c>
      <c r="G142" s="162" t="s">
        <v>335</v>
      </c>
      <c r="H142" s="162">
        <v>30</v>
      </c>
      <c r="I142" s="162" t="s">
        <v>424</v>
      </c>
      <c r="J142" s="162">
        <v>52</v>
      </c>
      <c r="K142" s="165">
        <v>26</v>
      </c>
      <c r="L142" s="165"/>
      <c r="M142" s="162" t="s">
        <v>335</v>
      </c>
      <c r="N142" s="166">
        <v>30</v>
      </c>
      <c r="O142" s="166" t="s">
        <v>424</v>
      </c>
      <c r="P142" s="166">
        <v>52</v>
      </c>
      <c r="Q142" s="167">
        <v>26</v>
      </c>
      <c r="R142" s="168"/>
      <c r="S142" s="208">
        <f t="shared" si="46"/>
        <v>0</v>
      </c>
      <c r="T142" s="162" t="s">
        <v>330</v>
      </c>
      <c r="U142" s="205">
        <v>27</v>
      </c>
      <c r="V142" s="209" t="s">
        <v>130</v>
      </c>
      <c r="W142" s="205">
        <v>32</v>
      </c>
      <c r="X142" s="206">
        <v>14.4</v>
      </c>
      <c r="Y142" s="171">
        <f>ROUND(U142*W142/60,1)</f>
        <v>14.4</v>
      </c>
      <c r="Z142" s="210"/>
      <c r="AA142" s="168">
        <f t="shared" si="47"/>
        <v>-11.6</v>
      </c>
      <c r="AB142" s="168"/>
      <c r="AC142" s="168">
        <f>AB142+AA142</f>
        <v>-11.6</v>
      </c>
      <c r="AD142" s="211">
        <f t="shared" si="48"/>
        <v>26</v>
      </c>
      <c r="AE142" s="128"/>
      <c r="AI142" s="174"/>
      <c r="AJ142" s="174"/>
      <c r="AM142" s="175">
        <f t="shared" si="43"/>
        <v>0</v>
      </c>
      <c r="AN142" s="176" t="s">
        <v>331</v>
      </c>
      <c r="AO142" s="177">
        <v>27</v>
      </c>
      <c r="AP142" s="189" t="s">
        <v>134</v>
      </c>
      <c r="AQ142" s="179">
        <v>32</v>
      </c>
      <c r="AR142" s="180">
        <v>14.4</v>
      </c>
      <c r="AS142" s="124"/>
      <c r="AT142" s="181">
        <f t="shared" si="39"/>
        <v>0</v>
      </c>
      <c r="AU142" s="182">
        <f t="shared" si="40"/>
        <v>0</v>
      </c>
      <c r="AV142" s="167">
        <f t="shared" si="24"/>
        <v>0</v>
      </c>
      <c r="AW142" s="579"/>
      <c r="AX142" s="110"/>
      <c r="BO142" s="159">
        <f t="shared" si="35"/>
        <v>14.4</v>
      </c>
      <c r="BP142" s="160">
        <f t="shared" si="25"/>
        <v>0</v>
      </c>
      <c r="BQ142" s="131"/>
      <c r="BR142" s="132"/>
      <c r="BS142" s="133"/>
      <c r="BT142" s="134"/>
      <c r="BU142" s="135"/>
    </row>
    <row r="143" spans="1:73" s="80" customFormat="1" ht="60" customHeight="1">
      <c r="A143" s="80">
        <v>6</v>
      </c>
      <c r="B143" s="111" t="s">
        <v>557</v>
      </c>
      <c r="C143" s="215" t="s">
        <v>557</v>
      </c>
      <c r="D143" s="162" t="s">
        <v>135</v>
      </c>
      <c r="E143" s="227" t="s">
        <v>136</v>
      </c>
      <c r="F143" s="274" t="s">
        <v>137</v>
      </c>
      <c r="G143" s="162" t="s">
        <v>335</v>
      </c>
      <c r="H143" s="162">
        <v>60</v>
      </c>
      <c r="I143" s="162"/>
      <c r="J143" s="162">
        <v>12</v>
      </c>
      <c r="K143" s="165">
        <v>12</v>
      </c>
      <c r="L143" s="165"/>
      <c r="M143" s="162" t="s">
        <v>335</v>
      </c>
      <c r="N143" s="166">
        <v>60</v>
      </c>
      <c r="O143" s="166"/>
      <c r="P143" s="166">
        <v>12</v>
      </c>
      <c r="Q143" s="167">
        <v>12</v>
      </c>
      <c r="R143" s="168"/>
      <c r="S143" s="222">
        <f t="shared" si="46"/>
        <v>0</v>
      </c>
      <c r="T143" s="162" t="s">
        <v>330</v>
      </c>
      <c r="U143" s="205"/>
      <c r="V143" s="209"/>
      <c r="W143" s="205"/>
      <c r="X143" s="206">
        <v>15.4</v>
      </c>
      <c r="Y143" s="304">
        <v>15.4</v>
      </c>
      <c r="Z143" s="210"/>
      <c r="AA143" s="168">
        <f t="shared" si="47"/>
        <v>3.4000000000000004</v>
      </c>
      <c r="AB143" s="168"/>
      <c r="AC143" s="168">
        <f>AB143+AA143</f>
        <v>3.4000000000000004</v>
      </c>
      <c r="AD143" s="211">
        <f t="shared" si="48"/>
        <v>12</v>
      </c>
      <c r="AE143" s="128"/>
      <c r="AI143" s="174"/>
      <c r="AJ143" s="174"/>
      <c r="AM143" s="175">
        <f t="shared" si="43"/>
        <v>0</v>
      </c>
      <c r="AN143" s="176" t="s">
        <v>331</v>
      </c>
      <c r="AO143" s="177"/>
      <c r="AP143" s="189"/>
      <c r="AQ143" s="179"/>
      <c r="AR143" s="180">
        <v>21.6</v>
      </c>
      <c r="AS143" s="124"/>
      <c r="AT143" s="181">
        <f t="shared" si="39"/>
        <v>6.200000000000001</v>
      </c>
      <c r="AU143" s="182">
        <f t="shared" si="40"/>
        <v>0</v>
      </c>
      <c r="AV143" s="167">
        <f t="shared" si="24"/>
        <v>6.200000000000001</v>
      </c>
      <c r="AW143" s="579"/>
      <c r="AX143" s="110"/>
      <c r="BO143" s="159">
        <v>21.6</v>
      </c>
      <c r="BP143" s="160">
        <f t="shared" si="25"/>
        <v>0</v>
      </c>
      <c r="BQ143" s="131"/>
      <c r="BR143" s="132"/>
      <c r="BS143" s="133"/>
      <c r="BT143" s="134"/>
      <c r="BU143" s="135"/>
    </row>
    <row r="144" spans="1:73" s="80" customFormat="1" ht="78.75" customHeight="1">
      <c r="A144" s="80">
        <v>10</v>
      </c>
      <c r="B144" s="111" t="s">
        <v>557</v>
      </c>
      <c r="C144" s="215" t="s">
        <v>557</v>
      </c>
      <c r="D144" s="162" t="s">
        <v>138</v>
      </c>
      <c r="E144" s="227" t="s">
        <v>139</v>
      </c>
      <c r="F144" s="525" t="s">
        <v>140</v>
      </c>
      <c r="G144" s="162" t="s">
        <v>335</v>
      </c>
      <c r="H144" s="162">
        <v>90</v>
      </c>
      <c r="I144" s="162"/>
      <c r="J144" s="162">
        <v>48</v>
      </c>
      <c r="K144" s="165">
        <v>72</v>
      </c>
      <c r="L144" s="165"/>
      <c r="M144" s="162" t="s">
        <v>335</v>
      </c>
      <c r="N144" s="166">
        <v>90</v>
      </c>
      <c r="O144" s="166"/>
      <c r="P144" s="166">
        <v>40</v>
      </c>
      <c r="Q144" s="167">
        <v>60</v>
      </c>
      <c r="R144" s="168"/>
      <c r="S144" s="208">
        <f t="shared" si="46"/>
        <v>-12</v>
      </c>
      <c r="T144" s="162" t="s">
        <v>330</v>
      </c>
      <c r="U144" s="217"/>
      <c r="V144" s="225"/>
      <c r="W144" s="217"/>
      <c r="X144" s="206">
        <f>89.9+0.6</f>
        <v>90.5</v>
      </c>
      <c r="Y144" s="304">
        <v>89.9</v>
      </c>
      <c r="Z144" s="210"/>
      <c r="AA144" s="168">
        <f t="shared" si="47"/>
        <v>30.5</v>
      </c>
      <c r="AB144" s="168"/>
      <c r="AC144" s="168">
        <f>AB144+AA144</f>
        <v>30.5</v>
      </c>
      <c r="AD144" s="211">
        <f t="shared" si="48"/>
        <v>60</v>
      </c>
      <c r="AE144" s="128"/>
      <c r="AI144" s="174"/>
      <c r="AJ144" s="174"/>
      <c r="AM144" s="175">
        <f t="shared" si="43"/>
        <v>0.5999999999999943</v>
      </c>
      <c r="AN144" s="176" t="s">
        <v>331</v>
      </c>
      <c r="AO144" s="177"/>
      <c r="AP144" s="189"/>
      <c r="AQ144" s="179"/>
      <c r="AR144" s="180">
        <f>89.4</f>
        <v>89.4</v>
      </c>
      <c r="AS144" s="124"/>
      <c r="AT144" s="181">
        <f t="shared" si="39"/>
        <v>-1.0999999999999943</v>
      </c>
      <c r="AU144" s="182">
        <f t="shared" si="40"/>
        <v>0</v>
      </c>
      <c r="AV144" s="167">
        <f t="shared" si="24"/>
        <v>-1.0999999999999943</v>
      </c>
      <c r="AW144" s="579"/>
      <c r="AX144" s="110"/>
      <c r="BO144" s="159">
        <v>89.4</v>
      </c>
      <c r="BP144" s="160">
        <f t="shared" si="25"/>
        <v>0</v>
      </c>
      <c r="BQ144" s="131"/>
      <c r="BR144" s="132"/>
      <c r="BS144" s="133"/>
      <c r="BT144" s="134"/>
      <c r="BU144" s="135"/>
    </row>
    <row r="145" spans="1:73" s="80" customFormat="1" ht="72.75" customHeight="1">
      <c r="A145" s="80">
        <v>10</v>
      </c>
      <c r="B145" s="111" t="s">
        <v>557</v>
      </c>
      <c r="C145" s="215" t="s">
        <v>557</v>
      </c>
      <c r="D145" s="162" t="s">
        <v>141</v>
      </c>
      <c r="E145" s="227" t="s">
        <v>139</v>
      </c>
      <c r="F145" s="525" t="s">
        <v>140</v>
      </c>
      <c r="G145" s="162" t="s">
        <v>335</v>
      </c>
      <c r="H145" s="162">
        <v>60</v>
      </c>
      <c r="I145" s="162"/>
      <c r="J145" s="162">
        <v>32</v>
      </c>
      <c r="K145" s="165">
        <v>32</v>
      </c>
      <c r="L145" s="165"/>
      <c r="M145" s="162" t="s">
        <v>335</v>
      </c>
      <c r="N145" s="166">
        <v>60</v>
      </c>
      <c r="O145" s="166"/>
      <c r="P145" s="166">
        <v>32</v>
      </c>
      <c r="Q145" s="167">
        <v>32</v>
      </c>
      <c r="R145" s="168"/>
      <c r="S145" s="208">
        <f t="shared" si="46"/>
        <v>0</v>
      </c>
      <c r="T145" s="162" t="s">
        <v>330</v>
      </c>
      <c r="U145" s="217"/>
      <c r="V145" s="225"/>
      <c r="W145" s="217"/>
      <c r="X145" s="206">
        <v>32</v>
      </c>
      <c r="Y145" s="226">
        <v>32</v>
      </c>
      <c r="Z145" s="210"/>
      <c r="AA145" s="168">
        <f t="shared" si="47"/>
        <v>0</v>
      </c>
      <c r="AB145" s="168"/>
      <c r="AC145" s="168"/>
      <c r="AD145" s="211">
        <f t="shared" si="48"/>
        <v>32</v>
      </c>
      <c r="AE145" s="128"/>
      <c r="AI145" s="174"/>
      <c r="AJ145" s="174"/>
      <c r="AM145" s="175">
        <f t="shared" si="43"/>
        <v>0</v>
      </c>
      <c r="AN145" s="176" t="s">
        <v>331</v>
      </c>
      <c r="AO145" s="177"/>
      <c r="AP145" s="189"/>
      <c r="AQ145" s="179"/>
      <c r="AR145" s="180">
        <v>34</v>
      </c>
      <c r="AS145" s="124"/>
      <c r="AT145" s="181">
        <f t="shared" si="39"/>
        <v>2</v>
      </c>
      <c r="AU145" s="182">
        <f t="shared" si="40"/>
        <v>0</v>
      </c>
      <c r="AV145" s="167">
        <f aca="true" t="shared" si="49" ref="AV145:AV202">AT145+AU145</f>
        <v>2</v>
      </c>
      <c r="AW145" s="579"/>
      <c r="AX145" s="110"/>
      <c r="BO145" s="159">
        <v>34</v>
      </c>
      <c r="BP145" s="160">
        <f aca="true" t="shared" si="50" ref="BP145:BP194">AR145-BO145</f>
        <v>0</v>
      </c>
      <c r="BQ145" s="131"/>
      <c r="BR145" s="132"/>
      <c r="BS145" s="133"/>
      <c r="BT145" s="134"/>
      <c r="BU145" s="135"/>
    </row>
    <row r="146" spans="1:73" s="80" customFormat="1" ht="96.75" customHeight="1" hidden="1">
      <c r="A146" s="80">
        <v>3</v>
      </c>
      <c r="B146" s="111" t="s">
        <v>552</v>
      </c>
      <c r="C146" s="215" t="s">
        <v>557</v>
      </c>
      <c r="D146" s="162" t="s">
        <v>570</v>
      </c>
      <c r="E146" s="163" t="s">
        <v>571</v>
      </c>
      <c r="F146" s="525" t="s">
        <v>142</v>
      </c>
      <c r="G146" s="162" t="s">
        <v>335</v>
      </c>
      <c r="H146" s="162">
        <v>30</v>
      </c>
      <c r="I146" s="162" t="s">
        <v>573</v>
      </c>
      <c r="J146" s="162">
        <v>12</v>
      </c>
      <c r="K146" s="165">
        <v>6</v>
      </c>
      <c r="L146" s="165"/>
      <c r="M146" s="162" t="s">
        <v>335</v>
      </c>
      <c r="N146" s="166">
        <v>30</v>
      </c>
      <c r="O146" s="166" t="s">
        <v>573</v>
      </c>
      <c r="P146" s="166">
        <v>12</v>
      </c>
      <c r="Q146" s="167">
        <v>6</v>
      </c>
      <c r="R146" s="168"/>
      <c r="S146" s="208"/>
      <c r="T146" s="162" t="s">
        <v>330</v>
      </c>
      <c r="U146" s="526" t="s">
        <v>73</v>
      </c>
      <c r="V146" s="527"/>
      <c r="W146" s="528"/>
      <c r="X146" s="206"/>
      <c r="Y146" s="226"/>
      <c r="Z146" s="210"/>
      <c r="AA146" s="168">
        <f t="shared" si="47"/>
        <v>-6</v>
      </c>
      <c r="AB146" s="168"/>
      <c r="AC146" s="168">
        <f aca="true" t="shared" si="51" ref="AC146:AC169">AB146+AA146</f>
        <v>-6</v>
      </c>
      <c r="AD146" s="211"/>
      <c r="AE146" s="128"/>
      <c r="AI146" s="174"/>
      <c r="AJ146" s="174"/>
      <c r="AM146" s="175">
        <f t="shared" si="43"/>
        <v>0</v>
      </c>
      <c r="AN146" s="176" t="s">
        <v>331</v>
      </c>
      <c r="AO146" s="177"/>
      <c r="AP146" s="189"/>
      <c r="AQ146" s="179"/>
      <c r="AR146" s="180"/>
      <c r="AS146" s="124"/>
      <c r="AT146" s="181">
        <f t="shared" si="39"/>
        <v>0</v>
      </c>
      <c r="AU146" s="182">
        <f t="shared" si="40"/>
        <v>0</v>
      </c>
      <c r="AV146" s="167">
        <f t="shared" si="49"/>
        <v>0</v>
      </c>
      <c r="AW146" s="579"/>
      <c r="AX146" s="110"/>
      <c r="BO146" s="159">
        <f aca="true" t="shared" si="52" ref="BO146:BO194">ROUND(AO146*AQ146/60,1)</f>
        <v>0</v>
      </c>
      <c r="BP146" s="160">
        <f t="shared" si="50"/>
        <v>0</v>
      </c>
      <c r="BQ146" s="131"/>
      <c r="BR146" s="132"/>
      <c r="BS146" s="133"/>
      <c r="BT146" s="134"/>
      <c r="BU146" s="135"/>
    </row>
    <row r="147" spans="1:73" s="80" customFormat="1" ht="44.25" customHeight="1">
      <c r="A147" s="80">
        <v>6</v>
      </c>
      <c r="B147" s="111" t="s">
        <v>557</v>
      </c>
      <c r="C147" s="215" t="s">
        <v>557</v>
      </c>
      <c r="D147" s="162" t="s">
        <v>143</v>
      </c>
      <c r="E147" s="163" t="s">
        <v>144</v>
      </c>
      <c r="F147" s="525" t="s">
        <v>145</v>
      </c>
      <c r="G147" s="162" t="s">
        <v>335</v>
      </c>
      <c r="H147" s="162">
        <v>40</v>
      </c>
      <c r="I147" s="162"/>
      <c r="J147" s="162">
        <v>48</v>
      </c>
      <c r="K147" s="165">
        <v>32</v>
      </c>
      <c r="L147" s="165"/>
      <c r="M147" s="162" t="s">
        <v>335</v>
      </c>
      <c r="N147" s="166">
        <v>40</v>
      </c>
      <c r="O147" s="166"/>
      <c r="P147" s="166">
        <v>48</v>
      </c>
      <c r="Q147" s="167">
        <v>32</v>
      </c>
      <c r="R147" s="168"/>
      <c r="S147" s="208">
        <f>Q147-K147</f>
        <v>0</v>
      </c>
      <c r="T147" s="162" t="s">
        <v>330</v>
      </c>
      <c r="U147" s="205">
        <v>32</v>
      </c>
      <c r="V147" s="209"/>
      <c r="W147" s="205">
        <v>23</v>
      </c>
      <c r="X147" s="206">
        <v>12.1</v>
      </c>
      <c r="Y147" s="172">
        <f>ROUND(U147*W147/60,1)</f>
        <v>12.3</v>
      </c>
      <c r="Z147" s="210"/>
      <c r="AA147" s="168">
        <f t="shared" si="47"/>
        <v>-19.9</v>
      </c>
      <c r="AB147" s="168"/>
      <c r="AC147" s="168">
        <f t="shared" si="51"/>
        <v>-19.9</v>
      </c>
      <c r="AD147" s="211">
        <f>Q147</f>
        <v>32</v>
      </c>
      <c r="AE147" s="128"/>
      <c r="AI147" s="174"/>
      <c r="AJ147" s="174"/>
      <c r="AM147" s="175">
        <f t="shared" si="43"/>
        <v>-0.20000000000000107</v>
      </c>
      <c r="AN147" s="176" t="s">
        <v>331</v>
      </c>
      <c r="AO147" s="177">
        <v>31.5</v>
      </c>
      <c r="AP147" s="189"/>
      <c r="AQ147" s="179">
        <v>23</v>
      </c>
      <c r="AR147" s="180">
        <v>12.1</v>
      </c>
      <c r="AS147" s="124"/>
      <c r="AT147" s="181">
        <f t="shared" si="39"/>
        <v>0</v>
      </c>
      <c r="AU147" s="182">
        <f t="shared" si="40"/>
        <v>0</v>
      </c>
      <c r="AV147" s="167">
        <f t="shared" si="49"/>
        <v>0</v>
      </c>
      <c r="AW147" s="579"/>
      <c r="AX147" s="110"/>
      <c r="BO147" s="159">
        <f t="shared" si="52"/>
        <v>12.1</v>
      </c>
      <c r="BP147" s="160">
        <f t="shared" si="50"/>
        <v>0</v>
      </c>
      <c r="BQ147" s="131"/>
      <c r="BR147" s="132"/>
      <c r="BS147" s="133"/>
      <c r="BT147" s="134"/>
      <c r="BU147" s="135"/>
    </row>
    <row r="148" spans="1:73" s="80" customFormat="1" ht="52.5" customHeight="1">
      <c r="A148" s="80">
        <v>6</v>
      </c>
      <c r="B148" s="111" t="s">
        <v>557</v>
      </c>
      <c r="C148" s="215" t="s">
        <v>557</v>
      </c>
      <c r="D148" s="162" t="s">
        <v>146</v>
      </c>
      <c r="E148" s="163" t="s">
        <v>147</v>
      </c>
      <c r="F148" s="525" t="s">
        <v>148</v>
      </c>
      <c r="G148" s="162"/>
      <c r="H148" s="162"/>
      <c r="I148" s="162"/>
      <c r="J148" s="162"/>
      <c r="K148" s="165"/>
      <c r="L148" s="165"/>
      <c r="M148" s="162" t="s">
        <v>335</v>
      </c>
      <c r="N148" s="166">
        <v>60</v>
      </c>
      <c r="O148" s="166" t="s">
        <v>149</v>
      </c>
      <c r="P148" s="166">
        <v>36</v>
      </c>
      <c r="Q148" s="167">
        <v>36</v>
      </c>
      <c r="R148" s="168"/>
      <c r="S148" s="208">
        <f>Q148-K148</f>
        <v>36</v>
      </c>
      <c r="T148" s="162" t="s">
        <v>330</v>
      </c>
      <c r="U148" s="205">
        <v>53</v>
      </c>
      <c r="V148" s="209"/>
      <c r="W148" s="205">
        <v>10</v>
      </c>
      <c r="X148" s="206">
        <v>8.8</v>
      </c>
      <c r="Y148" s="226">
        <v>8.8</v>
      </c>
      <c r="Z148" s="210"/>
      <c r="AA148" s="168">
        <f t="shared" si="47"/>
        <v>-27.2</v>
      </c>
      <c r="AB148" s="168"/>
      <c r="AC148" s="168">
        <f t="shared" si="51"/>
        <v>-27.2</v>
      </c>
      <c r="AD148" s="211">
        <f>Q148</f>
        <v>36</v>
      </c>
      <c r="AE148" s="128"/>
      <c r="AI148" s="174"/>
      <c r="AJ148" s="174"/>
      <c r="AM148" s="175">
        <f t="shared" si="43"/>
        <v>0</v>
      </c>
      <c r="AN148" s="176" t="s">
        <v>331</v>
      </c>
      <c r="AO148" s="177">
        <v>53</v>
      </c>
      <c r="AP148" s="189"/>
      <c r="AQ148" s="179">
        <v>10</v>
      </c>
      <c r="AR148" s="180">
        <v>8.8</v>
      </c>
      <c r="AS148" s="124"/>
      <c r="AT148" s="181">
        <f aca="true" t="shared" si="53" ref="AT148:AT179">AR148-X148</f>
        <v>0</v>
      </c>
      <c r="AU148" s="182">
        <f aca="true" t="shared" si="54" ref="AU148:AU179">AS148-Z148</f>
        <v>0</v>
      </c>
      <c r="AV148" s="167">
        <f t="shared" si="49"/>
        <v>0</v>
      </c>
      <c r="AW148" s="579"/>
      <c r="AX148" s="110"/>
      <c r="BO148" s="159">
        <f t="shared" si="52"/>
        <v>8.8</v>
      </c>
      <c r="BP148" s="160">
        <f t="shared" si="50"/>
        <v>0</v>
      </c>
      <c r="BQ148" s="131"/>
      <c r="BR148" s="132"/>
      <c r="BS148" s="133"/>
      <c r="BT148" s="134"/>
      <c r="BU148" s="135"/>
    </row>
    <row r="149" spans="1:73" s="80" customFormat="1" ht="59.25" customHeight="1">
      <c r="A149" s="80">
        <v>6</v>
      </c>
      <c r="B149" s="111" t="s">
        <v>557</v>
      </c>
      <c r="C149" s="215" t="s">
        <v>557</v>
      </c>
      <c r="D149" s="162" t="s">
        <v>150</v>
      </c>
      <c r="E149" s="163" t="s">
        <v>151</v>
      </c>
      <c r="F149" s="525" t="s">
        <v>152</v>
      </c>
      <c r="G149" s="162"/>
      <c r="H149" s="162"/>
      <c r="I149" s="162"/>
      <c r="J149" s="162"/>
      <c r="K149" s="544"/>
      <c r="L149" s="165"/>
      <c r="M149" s="162" t="s">
        <v>335</v>
      </c>
      <c r="N149" s="166"/>
      <c r="O149" s="166"/>
      <c r="P149" s="166"/>
      <c r="Q149" s="167">
        <v>16</v>
      </c>
      <c r="R149" s="168"/>
      <c r="S149" s="208">
        <f>Q149-K149</f>
        <v>16</v>
      </c>
      <c r="T149" s="162" t="s">
        <v>330</v>
      </c>
      <c r="U149" s="217"/>
      <c r="V149" s="225"/>
      <c r="W149" s="217"/>
      <c r="X149" s="206">
        <v>12.3</v>
      </c>
      <c r="Y149" s="226">
        <v>12.3</v>
      </c>
      <c r="Z149" s="210"/>
      <c r="AA149" s="168">
        <f t="shared" si="47"/>
        <v>-3.6999999999999993</v>
      </c>
      <c r="AB149" s="168"/>
      <c r="AC149" s="168">
        <f t="shared" si="51"/>
        <v>-3.6999999999999993</v>
      </c>
      <c r="AD149" s="211">
        <f>Q149</f>
        <v>16</v>
      </c>
      <c r="AE149" s="128"/>
      <c r="AI149" s="174"/>
      <c r="AJ149" s="174"/>
      <c r="AM149" s="175">
        <f aca="true" t="shared" si="55" ref="AM149:AM165">X149-Y149</f>
        <v>0</v>
      </c>
      <c r="AN149" s="176" t="s">
        <v>331</v>
      </c>
      <c r="AO149" s="177"/>
      <c r="AP149" s="189"/>
      <c r="AQ149" s="179"/>
      <c r="AR149" s="180">
        <v>12.4</v>
      </c>
      <c r="AS149" s="124"/>
      <c r="AT149" s="181">
        <f t="shared" si="53"/>
        <v>0.09999999999999964</v>
      </c>
      <c r="AU149" s="182">
        <f t="shared" si="54"/>
        <v>0</v>
      </c>
      <c r="AV149" s="167">
        <f t="shared" si="49"/>
        <v>0.09999999999999964</v>
      </c>
      <c r="AW149" s="579"/>
      <c r="AX149" s="110"/>
      <c r="BO149" s="159">
        <v>12.4</v>
      </c>
      <c r="BP149" s="160">
        <f t="shared" si="50"/>
        <v>0</v>
      </c>
      <c r="BQ149" s="131"/>
      <c r="BR149" s="132"/>
      <c r="BS149" s="133"/>
      <c r="BT149" s="134"/>
      <c r="BU149" s="135"/>
    </row>
    <row r="150" spans="1:73" s="130" customFormat="1" ht="59.25" customHeight="1" hidden="1">
      <c r="A150" s="80">
        <v>6</v>
      </c>
      <c r="B150" s="111" t="s">
        <v>552</v>
      </c>
      <c r="C150" s="215" t="s">
        <v>557</v>
      </c>
      <c r="D150" s="162" t="s">
        <v>153</v>
      </c>
      <c r="E150" s="163" t="s">
        <v>93</v>
      </c>
      <c r="F150" s="274" t="s">
        <v>142</v>
      </c>
      <c r="G150" s="162"/>
      <c r="H150" s="162"/>
      <c r="I150" s="162"/>
      <c r="J150" s="162"/>
      <c r="K150" s="165"/>
      <c r="L150" s="165"/>
      <c r="M150" s="580" t="s">
        <v>335</v>
      </c>
      <c r="N150" s="205">
        <v>30</v>
      </c>
      <c r="O150" s="253" t="s">
        <v>154</v>
      </c>
      <c r="P150" s="205">
        <v>4</v>
      </c>
      <c r="Q150" s="167">
        <v>2</v>
      </c>
      <c r="R150" s="546"/>
      <c r="S150" s="208"/>
      <c r="T150" s="162" t="s">
        <v>330</v>
      </c>
      <c r="U150" s="526" t="s">
        <v>73</v>
      </c>
      <c r="V150" s="527"/>
      <c r="W150" s="528"/>
      <c r="X150" s="218"/>
      <c r="Y150" s="555"/>
      <c r="Z150" s="210"/>
      <c r="AA150" s="168">
        <f t="shared" si="47"/>
        <v>-2</v>
      </c>
      <c r="AB150" s="168"/>
      <c r="AC150" s="168">
        <f t="shared" si="51"/>
        <v>-2</v>
      </c>
      <c r="AD150" s="211"/>
      <c r="AE150" s="518"/>
      <c r="AI150" s="133"/>
      <c r="AJ150" s="133"/>
      <c r="AM150" s="175">
        <f t="shared" si="55"/>
        <v>0</v>
      </c>
      <c r="AN150" s="176" t="s">
        <v>331</v>
      </c>
      <c r="AO150" s="177"/>
      <c r="AP150" s="189"/>
      <c r="AQ150" s="179"/>
      <c r="AR150" s="180"/>
      <c r="AS150" s="124"/>
      <c r="AT150" s="181">
        <f t="shared" si="53"/>
        <v>0</v>
      </c>
      <c r="AU150" s="182">
        <f t="shared" si="54"/>
        <v>0</v>
      </c>
      <c r="AV150" s="167">
        <f t="shared" si="49"/>
        <v>0</v>
      </c>
      <c r="AW150" s="581"/>
      <c r="AX150" s="547"/>
      <c r="BO150" s="159">
        <f t="shared" si="52"/>
        <v>0</v>
      </c>
      <c r="BP150" s="160">
        <f t="shared" si="50"/>
        <v>0</v>
      </c>
      <c r="BQ150" s="131"/>
      <c r="BR150" s="132"/>
      <c r="BS150" s="133"/>
      <c r="BT150" s="548"/>
      <c r="BU150" s="549"/>
    </row>
    <row r="151" spans="1:73" s="586" customFormat="1" ht="60" customHeight="1">
      <c r="A151" s="229">
        <v>6</v>
      </c>
      <c r="B151" s="582">
        <v>4</v>
      </c>
      <c r="C151" s="583">
        <v>4</v>
      </c>
      <c r="D151" s="166" t="s">
        <v>155</v>
      </c>
      <c r="E151" s="163" t="s">
        <v>156</v>
      </c>
      <c r="F151" s="213" t="s">
        <v>157</v>
      </c>
      <c r="G151" s="536"/>
      <c r="H151" s="584"/>
      <c r="I151" s="585"/>
      <c r="J151" s="584"/>
      <c r="K151" s="206"/>
      <c r="L151" s="206"/>
      <c r="M151" s="162" t="s">
        <v>335</v>
      </c>
      <c r="N151" s="166">
        <v>50</v>
      </c>
      <c r="O151" s="166" t="s">
        <v>158</v>
      </c>
      <c r="P151" s="166">
        <v>38</v>
      </c>
      <c r="Q151" s="167">
        <v>31.7</v>
      </c>
      <c r="R151" s="206"/>
      <c r="S151" s="222">
        <f aca="true" t="shared" si="56" ref="S151:S159">Q151-K151</f>
        <v>31.7</v>
      </c>
      <c r="T151" s="162" t="s">
        <v>330</v>
      </c>
      <c r="U151" s="205">
        <v>58</v>
      </c>
      <c r="V151" s="209"/>
      <c r="W151" s="205">
        <v>11</v>
      </c>
      <c r="X151" s="206">
        <v>10.6</v>
      </c>
      <c r="Y151" s="226">
        <v>10.6</v>
      </c>
      <c r="Z151" s="207"/>
      <c r="AA151" s="168">
        <f t="shared" si="47"/>
        <v>-21.1</v>
      </c>
      <c r="AB151" s="168"/>
      <c r="AC151" s="168">
        <f t="shared" si="51"/>
        <v>-21.1</v>
      </c>
      <c r="AD151" s="211"/>
      <c r="AI151" s="587"/>
      <c r="AJ151" s="587"/>
      <c r="AM151" s="175">
        <f t="shared" si="55"/>
        <v>0</v>
      </c>
      <c r="AN151" s="176" t="s">
        <v>331</v>
      </c>
      <c r="AO151" s="177">
        <v>76.5</v>
      </c>
      <c r="AP151" s="189"/>
      <c r="AQ151" s="179">
        <v>12</v>
      </c>
      <c r="AR151" s="180">
        <v>15.3</v>
      </c>
      <c r="AS151" s="124"/>
      <c r="AT151" s="181">
        <f t="shared" si="53"/>
        <v>4.700000000000001</v>
      </c>
      <c r="AU151" s="182">
        <f t="shared" si="54"/>
        <v>0</v>
      </c>
      <c r="AV151" s="167">
        <f t="shared" si="49"/>
        <v>4.700000000000001</v>
      </c>
      <c r="AW151" s="588"/>
      <c r="AX151" s="589"/>
      <c r="BO151" s="159">
        <f t="shared" si="52"/>
        <v>15.3</v>
      </c>
      <c r="BP151" s="160">
        <f t="shared" si="50"/>
        <v>0</v>
      </c>
      <c r="BQ151" s="131"/>
      <c r="BR151" s="132"/>
      <c r="BS151" s="590"/>
      <c r="BT151" s="591"/>
      <c r="BU151" s="592"/>
    </row>
    <row r="152" spans="1:73" s="586" customFormat="1" ht="39" customHeight="1">
      <c r="A152" s="229">
        <v>6</v>
      </c>
      <c r="B152" s="582">
        <v>4</v>
      </c>
      <c r="C152" s="583">
        <v>4</v>
      </c>
      <c r="D152" s="166" t="s">
        <v>159</v>
      </c>
      <c r="E152" s="227" t="s">
        <v>160</v>
      </c>
      <c r="F152" s="271" t="s">
        <v>161</v>
      </c>
      <c r="G152" s="536"/>
      <c r="H152" s="584"/>
      <c r="I152" s="585"/>
      <c r="J152" s="584"/>
      <c r="K152" s="206"/>
      <c r="L152" s="206"/>
      <c r="M152" s="162" t="s">
        <v>335</v>
      </c>
      <c r="N152" s="584"/>
      <c r="O152" s="585"/>
      <c r="P152" s="584"/>
      <c r="Q152" s="206">
        <f>3.3+3</f>
        <v>6.3</v>
      </c>
      <c r="R152" s="593"/>
      <c r="S152" s="222">
        <f t="shared" si="56"/>
        <v>6.3</v>
      </c>
      <c r="T152" s="162" t="s">
        <v>330</v>
      </c>
      <c r="U152" s="205"/>
      <c r="V152" s="209"/>
      <c r="W152" s="205"/>
      <c r="X152" s="206">
        <f>6+1.4</f>
        <v>7.4</v>
      </c>
      <c r="Y152" s="226">
        <v>6</v>
      </c>
      <c r="Z152" s="207"/>
      <c r="AA152" s="168">
        <f t="shared" si="47"/>
        <v>1.1000000000000005</v>
      </c>
      <c r="AB152" s="168"/>
      <c r="AC152" s="168">
        <f t="shared" si="51"/>
        <v>1.1000000000000005</v>
      </c>
      <c r="AD152" s="211"/>
      <c r="AI152" s="587"/>
      <c r="AJ152" s="587"/>
      <c r="AM152" s="175">
        <f t="shared" si="55"/>
        <v>1.4000000000000004</v>
      </c>
      <c r="AN152" s="176" t="s">
        <v>331</v>
      </c>
      <c r="AO152" s="177"/>
      <c r="AP152" s="189"/>
      <c r="AQ152" s="179"/>
      <c r="AR152" s="180">
        <v>6</v>
      </c>
      <c r="AS152" s="124"/>
      <c r="AT152" s="181">
        <f t="shared" si="53"/>
        <v>-1.4000000000000004</v>
      </c>
      <c r="AU152" s="182">
        <f t="shared" si="54"/>
        <v>0</v>
      </c>
      <c r="AV152" s="167">
        <f t="shared" si="49"/>
        <v>-1.4000000000000004</v>
      </c>
      <c r="AW152" s="588"/>
      <c r="AX152" s="589"/>
      <c r="BO152" s="159">
        <v>6</v>
      </c>
      <c r="BP152" s="160">
        <f t="shared" si="50"/>
        <v>0</v>
      </c>
      <c r="BQ152" s="131"/>
      <c r="BR152" s="132"/>
      <c r="BS152" s="590"/>
      <c r="BT152" s="591"/>
      <c r="BU152" s="592"/>
    </row>
    <row r="153" spans="1:73" s="586" customFormat="1" ht="45" customHeight="1">
      <c r="A153" s="229">
        <v>6</v>
      </c>
      <c r="B153" s="582">
        <v>4</v>
      </c>
      <c r="C153" s="583">
        <v>4</v>
      </c>
      <c r="D153" s="166" t="s">
        <v>162</v>
      </c>
      <c r="E153" s="227" t="s">
        <v>160</v>
      </c>
      <c r="F153" s="271" t="s">
        <v>161</v>
      </c>
      <c r="G153" s="536"/>
      <c r="H153" s="584"/>
      <c r="I153" s="585"/>
      <c r="J153" s="584"/>
      <c r="K153" s="206"/>
      <c r="L153" s="206"/>
      <c r="M153" s="162" t="s">
        <v>335</v>
      </c>
      <c r="N153" s="584"/>
      <c r="O153" s="585"/>
      <c r="P153" s="584"/>
      <c r="Q153" s="206"/>
      <c r="R153" s="593"/>
      <c r="S153" s="222">
        <f t="shared" si="56"/>
        <v>0</v>
      </c>
      <c r="T153" s="162" t="s">
        <v>330</v>
      </c>
      <c r="U153" s="205"/>
      <c r="V153" s="209"/>
      <c r="W153" s="205"/>
      <c r="X153" s="206"/>
      <c r="Y153" s="226">
        <v>1.4</v>
      </c>
      <c r="Z153" s="207"/>
      <c r="AA153" s="168">
        <f t="shared" si="47"/>
        <v>0</v>
      </c>
      <c r="AB153" s="168"/>
      <c r="AC153" s="168">
        <f t="shared" si="51"/>
        <v>0</v>
      </c>
      <c r="AD153" s="211"/>
      <c r="AI153" s="587"/>
      <c r="AJ153" s="587"/>
      <c r="AM153" s="175">
        <f t="shared" si="55"/>
        <v>-1.4</v>
      </c>
      <c r="AN153" s="176" t="s">
        <v>331</v>
      </c>
      <c r="AO153" s="177"/>
      <c r="AP153" s="189"/>
      <c r="AQ153" s="179"/>
      <c r="AR153" s="180">
        <v>1.4</v>
      </c>
      <c r="AS153" s="124"/>
      <c r="AT153" s="181">
        <f t="shared" si="53"/>
        <v>1.4</v>
      </c>
      <c r="AU153" s="182">
        <f t="shared" si="54"/>
        <v>0</v>
      </c>
      <c r="AV153" s="167">
        <f t="shared" si="49"/>
        <v>1.4</v>
      </c>
      <c r="AW153" s="588"/>
      <c r="AX153" s="589"/>
      <c r="BO153" s="159">
        <v>1.4</v>
      </c>
      <c r="BP153" s="160">
        <f t="shared" si="50"/>
        <v>0</v>
      </c>
      <c r="BQ153" s="131"/>
      <c r="BR153" s="132"/>
      <c r="BS153" s="590"/>
      <c r="BT153" s="591"/>
      <c r="BU153" s="592"/>
    </row>
    <row r="154" spans="1:73" s="238" customFormat="1" ht="36" customHeight="1">
      <c r="A154" s="229">
        <v>8</v>
      </c>
      <c r="B154" s="230">
        <v>4</v>
      </c>
      <c r="C154" s="231">
        <v>4</v>
      </c>
      <c r="D154" s="166" t="s">
        <v>163</v>
      </c>
      <c r="E154" s="594" t="s">
        <v>164</v>
      </c>
      <c r="F154" s="595" t="s">
        <v>165</v>
      </c>
      <c r="G154" s="233"/>
      <c r="H154" s="205"/>
      <c r="I154" s="234"/>
      <c r="J154" s="205"/>
      <c r="K154" s="207"/>
      <c r="L154" s="207"/>
      <c r="M154" s="162" t="s">
        <v>335</v>
      </c>
      <c r="N154" s="166">
        <v>40</v>
      </c>
      <c r="O154" s="166" t="s">
        <v>158</v>
      </c>
      <c r="P154" s="166">
        <v>44</v>
      </c>
      <c r="Q154" s="167">
        <v>29.3</v>
      </c>
      <c r="R154" s="593"/>
      <c r="S154" s="222">
        <f t="shared" si="56"/>
        <v>29.3</v>
      </c>
      <c r="T154" s="162" t="s">
        <v>330</v>
      </c>
      <c r="U154" s="205">
        <v>30</v>
      </c>
      <c r="V154" s="596" t="s">
        <v>79</v>
      </c>
      <c r="W154" s="205">
        <v>52</v>
      </c>
      <c r="X154" s="206">
        <v>26</v>
      </c>
      <c r="Y154" s="172">
        <f>ROUND(U154*W154/60,1)</f>
        <v>26</v>
      </c>
      <c r="Z154" s="207"/>
      <c r="AA154" s="168">
        <f t="shared" si="47"/>
        <v>-3.3000000000000007</v>
      </c>
      <c r="AB154" s="168"/>
      <c r="AC154" s="168">
        <f t="shared" si="51"/>
        <v>-3.3000000000000007</v>
      </c>
      <c r="AD154" s="211">
        <f>Q154</f>
        <v>29.3</v>
      </c>
      <c r="AE154" s="239"/>
      <c r="AF154" s="239"/>
      <c r="AG154" s="239"/>
      <c r="AH154" s="239"/>
      <c r="AI154" s="240"/>
      <c r="AJ154" s="240"/>
      <c r="AK154" s="239"/>
      <c r="AL154" s="239"/>
      <c r="AM154" s="175">
        <f t="shared" si="55"/>
        <v>0</v>
      </c>
      <c r="AN154" s="176" t="s">
        <v>331</v>
      </c>
      <c r="AO154" s="177">
        <v>24.6</v>
      </c>
      <c r="AP154" s="189"/>
      <c r="AQ154" s="179">
        <v>88</v>
      </c>
      <c r="AR154" s="180">
        <v>36.1</v>
      </c>
      <c r="AS154" s="124"/>
      <c r="AT154" s="181">
        <f t="shared" si="53"/>
        <v>10.100000000000001</v>
      </c>
      <c r="AU154" s="182">
        <f t="shared" si="54"/>
        <v>0</v>
      </c>
      <c r="AV154" s="167">
        <f t="shared" si="49"/>
        <v>10.100000000000001</v>
      </c>
      <c r="AW154" s="597"/>
      <c r="AX154" s="229"/>
      <c r="BO154" s="159">
        <f t="shared" si="52"/>
        <v>36.1</v>
      </c>
      <c r="BP154" s="160">
        <f t="shared" si="50"/>
        <v>0</v>
      </c>
      <c r="BQ154" s="131"/>
      <c r="BR154" s="132"/>
      <c r="BS154" s="242"/>
      <c r="BT154" s="243"/>
      <c r="BU154" s="244"/>
    </row>
    <row r="155" spans="1:73" s="238" customFormat="1" ht="36" customHeight="1">
      <c r="A155" s="229"/>
      <c r="B155" s="230"/>
      <c r="C155" s="231"/>
      <c r="D155" s="166" t="s">
        <v>166</v>
      </c>
      <c r="E155" s="598"/>
      <c r="F155" s="599"/>
      <c r="G155" s="233"/>
      <c r="H155" s="205"/>
      <c r="I155" s="234"/>
      <c r="J155" s="205"/>
      <c r="K155" s="207"/>
      <c r="L155" s="207"/>
      <c r="M155" s="162"/>
      <c r="N155" s="166"/>
      <c r="O155" s="166"/>
      <c r="P155" s="166"/>
      <c r="Q155" s="167"/>
      <c r="R155" s="593"/>
      <c r="S155" s="222"/>
      <c r="T155" s="162"/>
      <c r="U155" s="205"/>
      <c r="V155" s="596"/>
      <c r="W155" s="205"/>
      <c r="X155" s="206"/>
      <c r="Y155" s="172"/>
      <c r="Z155" s="207"/>
      <c r="AA155" s="168"/>
      <c r="AB155" s="168"/>
      <c r="AC155" s="168"/>
      <c r="AD155" s="211"/>
      <c r="AE155" s="239"/>
      <c r="AF155" s="239"/>
      <c r="AG155" s="239"/>
      <c r="AH155" s="239"/>
      <c r="AI155" s="240"/>
      <c r="AJ155" s="240"/>
      <c r="AK155" s="239"/>
      <c r="AL155" s="239"/>
      <c r="AM155" s="175"/>
      <c r="AN155" s="176" t="s">
        <v>331</v>
      </c>
      <c r="AO155" s="177">
        <v>51</v>
      </c>
      <c r="AP155" s="189"/>
      <c r="AQ155" s="179">
        <v>1</v>
      </c>
      <c r="AR155" s="180">
        <v>0.9</v>
      </c>
      <c r="AS155" s="124"/>
      <c r="AT155" s="181">
        <f t="shared" si="53"/>
        <v>0.9</v>
      </c>
      <c r="AU155" s="182">
        <f t="shared" si="54"/>
        <v>0</v>
      </c>
      <c r="AV155" s="167">
        <f t="shared" si="49"/>
        <v>0.9</v>
      </c>
      <c r="AW155" s="597"/>
      <c r="AX155" s="229"/>
      <c r="BO155" s="159">
        <f t="shared" si="52"/>
        <v>0.9</v>
      </c>
      <c r="BP155" s="160">
        <f t="shared" si="50"/>
        <v>0</v>
      </c>
      <c r="BQ155" s="131"/>
      <c r="BR155" s="132"/>
      <c r="BS155" s="242"/>
      <c r="BT155" s="243"/>
      <c r="BU155" s="244"/>
    </row>
    <row r="156" spans="1:73" s="238" customFormat="1" ht="50.25" customHeight="1">
      <c r="A156" s="229">
        <v>8</v>
      </c>
      <c r="B156" s="230">
        <v>4</v>
      </c>
      <c r="C156" s="231">
        <v>4</v>
      </c>
      <c r="D156" s="166" t="s">
        <v>167</v>
      </c>
      <c r="E156" s="163" t="s">
        <v>168</v>
      </c>
      <c r="F156" s="271" t="s">
        <v>169</v>
      </c>
      <c r="G156" s="233"/>
      <c r="H156" s="205"/>
      <c r="I156" s="234"/>
      <c r="J156" s="205"/>
      <c r="K156" s="207"/>
      <c r="L156" s="207"/>
      <c r="M156" s="162" t="s">
        <v>335</v>
      </c>
      <c r="N156" s="166">
        <v>15</v>
      </c>
      <c r="O156" s="166"/>
      <c r="P156" s="166">
        <v>7</v>
      </c>
      <c r="Q156" s="206">
        <v>1.8</v>
      </c>
      <c r="R156" s="236"/>
      <c r="S156" s="222">
        <f t="shared" si="56"/>
        <v>1.8</v>
      </c>
      <c r="T156" s="162" t="s">
        <v>330</v>
      </c>
      <c r="U156" s="205">
        <v>15</v>
      </c>
      <c r="V156" s="209"/>
      <c r="W156" s="205">
        <v>11</v>
      </c>
      <c r="X156" s="206">
        <v>2.8</v>
      </c>
      <c r="Y156" s="172">
        <f>ROUND(U156*W156/60,1)</f>
        <v>2.8</v>
      </c>
      <c r="Z156" s="207"/>
      <c r="AA156" s="168">
        <f t="shared" si="47"/>
        <v>0.9999999999999998</v>
      </c>
      <c r="AB156" s="168"/>
      <c r="AC156" s="168">
        <f t="shared" si="51"/>
        <v>0.9999999999999998</v>
      </c>
      <c r="AD156" s="211"/>
      <c r="AE156" s="239"/>
      <c r="AF156" s="239"/>
      <c r="AG156" s="239"/>
      <c r="AH156" s="239"/>
      <c r="AI156" s="240"/>
      <c r="AJ156" s="240"/>
      <c r="AK156" s="239"/>
      <c r="AL156" s="239"/>
      <c r="AM156" s="175">
        <f t="shared" si="55"/>
        <v>0</v>
      </c>
      <c r="AN156" s="176" t="s">
        <v>331</v>
      </c>
      <c r="AO156" s="177">
        <v>20</v>
      </c>
      <c r="AP156" s="189"/>
      <c r="AQ156" s="179">
        <v>21</v>
      </c>
      <c r="AR156" s="180">
        <v>7</v>
      </c>
      <c r="AS156" s="124"/>
      <c r="AT156" s="181">
        <f t="shared" si="53"/>
        <v>4.2</v>
      </c>
      <c r="AU156" s="182">
        <f t="shared" si="54"/>
        <v>0</v>
      </c>
      <c r="AV156" s="167">
        <f t="shared" si="49"/>
        <v>4.2</v>
      </c>
      <c r="AW156" s="597"/>
      <c r="AX156" s="229"/>
      <c r="BO156" s="159">
        <f t="shared" si="52"/>
        <v>7</v>
      </c>
      <c r="BP156" s="160">
        <f t="shared" si="50"/>
        <v>0</v>
      </c>
      <c r="BQ156" s="131"/>
      <c r="BR156" s="132"/>
      <c r="BS156" s="242"/>
      <c r="BT156" s="243"/>
      <c r="BU156" s="244"/>
    </row>
    <row r="157" spans="1:73" s="80" customFormat="1" ht="90.75" customHeight="1">
      <c r="A157" s="80">
        <v>6</v>
      </c>
      <c r="B157" s="111" t="s">
        <v>170</v>
      </c>
      <c r="C157" s="215" t="s">
        <v>557</v>
      </c>
      <c r="D157" s="162" t="s">
        <v>171</v>
      </c>
      <c r="E157" s="163" t="s">
        <v>172</v>
      </c>
      <c r="F157" s="213" t="s">
        <v>165</v>
      </c>
      <c r="G157" s="162" t="s">
        <v>335</v>
      </c>
      <c r="H157" s="162">
        <v>60</v>
      </c>
      <c r="I157" s="162" t="s">
        <v>173</v>
      </c>
      <c r="J157" s="162">
        <v>12</v>
      </c>
      <c r="K157" s="165">
        <v>12</v>
      </c>
      <c r="L157" s="165"/>
      <c r="M157" s="162" t="s">
        <v>335</v>
      </c>
      <c r="N157" s="166">
        <v>60</v>
      </c>
      <c r="O157" s="166"/>
      <c r="P157" s="166">
        <v>24</v>
      </c>
      <c r="Q157" s="167">
        <v>24</v>
      </c>
      <c r="R157" s="168"/>
      <c r="S157" s="222">
        <f t="shared" si="56"/>
        <v>12</v>
      </c>
      <c r="T157" s="162" t="s">
        <v>330</v>
      </c>
      <c r="U157" s="205"/>
      <c r="V157" s="209"/>
      <c r="W157" s="205"/>
      <c r="X157" s="206">
        <v>91.3</v>
      </c>
      <c r="Y157" s="226">
        <v>91.3</v>
      </c>
      <c r="Z157" s="210"/>
      <c r="AA157" s="168">
        <f t="shared" si="47"/>
        <v>67.3</v>
      </c>
      <c r="AB157" s="168"/>
      <c r="AC157" s="168">
        <f t="shared" si="51"/>
        <v>67.3</v>
      </c>
      <c r="AD157" s="211">
        <f>Q157</f>
        <v>24</v>
      </c>
      <c r="AE157" s="128"/>
      <c r="AI157" s="174"/>
      <c r="AJ157" s="174"/>
      <c r="AM157" s="175">
        <f t="shared" si="55"/>
        <v>0</v>
      </c>
      <c r="AN157" s="176" t="s">
        <v>331</v>
      </c>
      <c r="AO157" s="177"/>
      <c r="AP157" s="189"/>
      <c r="AQ157" s="179"/>
      <c r="AR157" s="180">
        <f>38.8+1.3+1-1.4</f>
        <v>39.699999999999996</v>
      </c>
      <c r="AS157" s="124"/>
      <c r="AT157" s="181">
        <f t="shared" si="53"/>
        <v>-51.6</v>
      </c>
      <c r="AU157" s="182">
        <f t="shared" si="54"/>
        <v>0</v>
      </c>
      <c r="AV157" s="167">
        <f t="shared" si="49"/>
        <v>-51.6</v>
      </c>
      <c r="AW157" s="579"/>
      <c r="AX157" s="110"/>
      <c r="BO157" s="159">
        <v>41.1</v>
      </c>
      <c r="BP157" s="160">
        <f t="shared" si="50"/>
        <v>-1.4000000000000057</v>
      </c>
      <c r="BQ157" s="131"/>
      <c r="BR157" s="132"/>
      <c r="BS157" s="133"/>
      <c r="BT157" s="134"/>
      <c r="BU157" s="135"/>
    </row>
    <row r="158" spans="1:73" s="80" customFormat="1" ht="142.5" customHeight="1">
      <c r="A158" s="80">
        <v>6</v>
      </c>
      <c r="B158" s="111" t="s">
        <v>557</v>
      </c>
      <c r="C158" s="215" t="s">
        <v>557</v>
      </c>
      <c r="D158" s="162" t="s">
        <v>174</v>
      </c>
      <c r="E158" s="163" t="s">
        <v>175</v>
      </c>
      <c r="F158" s="274" t="s">
        <v>176</v>
      </c>
      <c r="G158" s="162" t="s">
        <v>335</v>
      </c>
      <c r="H158" s="162"/>
      <c r="I158" s="162"/>
      <c r="J158" s="162"/>
      <c r="K158" s="165">
        <v>12</v>
      </c>
      <c r="L158" s="165"/>
      <c r="M158" s="162" t="s">
        <v>335</v>
      </c>
      <c r="N158" s="166"/>
      <c r="O158" s="166"/>
      <c r="P158" s="166"/>
      <c r="Q158" s="167">
        <v>26</v>
      </c>
      <c r="R158" s="168"/>
      <c r="S158" s="222">
        <f t="shared" si="56"/>
        <v>14</v>
      </c>
      <c r="T158" s="162" t="s">
        <v>330</v>
      </c>
      <c r="U158" s="205"/>
      <c r="V158" s="209"/>
      <c r="W158" s="205"/>
      <c r="X158" s="206">
        <f>44.6-0.1</f>
        <v>44.5</v>
      </c>
      <c r="Y158" s="226">
        <f>44.6-0.1</f>
        <v>44.5</v>
      </c>
      <c r="Z158" s="210"/>
      <c r="AA158" s="168">
        <f t="shared" si="47"/>
        <v>18.5</v>
      </c>
      <c r="AB158" s="168"/>
      <c r="AC158" s="168">
        <f t="shared" si="51"/>
        <v>18.5</v>
      </c>
      <c r="AD158" s="211">
        <f>Q158</f>
        <v>26</v>
      </c>
      <c r="AE158" s="128"/>
      <c r="AI158" s="174"/>
      <c r="AJ158" s="174"/>
      <c r="AM158" s="175">
        <f t="shared" si="55"/>
        <v>0</v>
      </c>
      <c r="AN158" s="176" t="s">
        <v>331</v>
      </c>
      <c r="AO158" s="177"/>
      <c r="AP158" s="189"/>
      <c r="AQ158" s="179"/>
      <c r="AR158" s="180">
        <v>33.9</v>
      </c>
      <c r="AS158" s="124"/>
      <c r="AT158" s="181">
        <f t="shared" si="53"/>
        <v>-10.600000000000001</v>
      </c>
      <c r="AU158" s="182">
        <f t="shared" si="54"/>
        <v>0</v>
      </c>
      <c r="AV158" s="167">
        <f t="shared" si="49"/>
        <v>-10.600000000000001</v>
      </c>
      <c r="AW158" s="579"/>
      <c r="AX158" s="110"/>
      <c r="BO158" s="159">
        <v>33.9</v>
      </c>
      <c r="BP158" s="160">
        <f t="shared" si="50"/>
        <v>0</v>
      </c>
      <c r="BQ158" s="131"/>
      <c r="BR158" s="132"/>
      <c r="BS158" s="133"/>
      <c r="BT158" s="134"/>
      <c r="BU158" s="135"/>
    </row>
    <row r="159" spans="1:73" s="80" customFormat="1" ht="115.5" customHeight="1">
      <c r="A159" s="80">
        <v>6</v>
      </c>
      <c r="B159" s="111" t="s">
        <v>557</v>
      </c>
      <c r="C159" s="215" t="s">
        <v>557</v>
      </c>
      <c r="D159" s="162" t="s">
        <v>177</v>
      </c>
      <c r="E159" s="227" t="s">
        <v>178</v>
      </c>
      <c r="F159" s="274" t="s">
        <v>179</v>
      </c>
      <c r="G159" s="162" t="s">
        <v>335</v>
      </c>
      <c r="H159" s="162">
        <v>195</v>
      </c>
      <c r="I159" s="162" t="s">
        <v>180</v>
      </c>
      <c r="J159" s="162">
        <v>1</v>
      </c>
      <c r="K159" s="165">
        <v>3.3</v>
      </c>
      <c r="L159" s="165"/>
      <c r="M159" s="162" t="s">
        <v>335</v>
      </c>
      <c r="N159" s="166">
        <v>195</v>
      </c>
      <c r="O159" s="166" t="s">
        <v>180</v>
      </c>
      <c r="P159" s="166">
        <v>1</v>
      </c>
      <c r="Q159" s="167">
        <v>3.3</v>
      </c>
      <c r="R159" s="168"/>
      <c r="S159" s="222">
        <f t="shared" si="56"/>
        <v>0</v>
      </c>
      <c r="T159" s="162" t="s">
        <v>330</v>
      </c>
      <c r="U159" s="205"/>
      <c r="V159" s="209"/>
      <c r="W159" s="205"/>
      <c r="X159" s="206">
        <v>10.9</v>
      </c>
      <c r="Y159" s="226">
        <v>10.9</v>
      </c>
      <c r="Z159" s="210"/>
      <c r="AA159" s="168">
        <f t="shared" si="47"/>
        <v>7.6000000000000005</v>
      </c>
      <c r="AB159" s="168"/>
      <c r="AC159" s="168">
        <f t="shared" si="51"/>
        <v>7.6000000000000005</v>
      </c>
      <c r="AD159" s="211">
        <f>Q159</f>
        <v>3.3</v>
      </c>
      <c r="AE159" s="128"/>
      <c r="AI159" s="174"/>
      <c r="AJ159" s="174"/>
      <c r="AM159" s="175">
        <f t="shared" si="55"/>
        <v>0</v>
      </c>
      <c r="AN159" s="176" t="s">
        <v>331</v>
      </c>
      <c r="AO159" s="177"/>
      <c r="AP159" s="189"/>
      <c r="AQ159" s="179"/>
      <c r="AR159" s="180">
        <f>10.9+1.9</f>
        <v>12.8</v>
      </c>
      <c r="AS159" s="124"/>
      <c r="AT159" s="181">
        <f t="shared" si="53"/>
        <v>1.9000000000000004</v>
      </c>
      <c r="AU159" s="182">
        <f t="shared" si="54"/>
        <v>0</v>
      </c>
      <c r="AV159" s="167">
        <f t="shared" si="49"/>
        <v>1.9000000000000004</v>
      </c>
      <c r="AW159" s="579"/>
      <c r="AX159" s="110"/>
      <c r="BO159" s="159">
        <v>12.8</v>
      </c>
      <c r="BP159" s="160">
        <f t="shared" si="50"/>
        <v>0</v>
      </c>
      <c r="BQ159" s="131"/>
      <c r="BR159" s="132"/>
      <c r="BS159" s="133"/>
      <c r="BT159" s="134"/>
      <c r="BU159" s="135"/>
    </row>
    <row r="160" spans="1:73" s="80" customFormat="1" ht="143.25" customHeight="1" hidden="1">
      <c r="A160" s="80">
        <v>6</v>
      </c>
      <c r="B160" s="111" t="s">
        <v>181</v>
      </c>
      <c r="C160" s="215" t="s">
        <v>557</v>
      </c>
      <c r="D160" s="162" t="s">
        <v>182</v>
      </c>
      <c r="E160" s="271" t="s">
        <v>183</v>
      </c>
      <c r="F160" s="274" t="s">
        <v>184</v>
      </c>
      <c r="G160" s="162" t="s">
        <v>335</v>
      </c>
      <c r="H160" s="162">
        <v>360</v>
      </c>
      <c r="I160" s="162"/>
      <c r="J160" s="162"/>
      <c r="K160" s="165">
        <v>6</v>
      </c>
      <c r="L160" s="165"/>
      <c r="M160" s="162" t="s">
        <v>335</v>
      </c>
      <c r="N160" s="166">
        <v>360</v>
      </c>
      <c r="O160" s="166"/>
      <c r="P160" s="166"/>
      <c r="Q160" s="167">
        <f>6+2.3</f>
        <v>8.3</v>
      </c>
      <c r="R160" s="168"/>
      <c r="S160" s="222"/>
      <c r="T160" s="162" t="s">
        <v>330</v>
      </c>
      <c r="U160" s="600" t="s">
        <v>185</v>
      </c>
      <c r="V160" s="601"/>
      <c r="W160" s="602"/>
      <c r="X160" s="206"/>
      <c r="Y160" s="226"/>
      <c r="Z160" s="207"/>
      <c r="AA160" s="168">
        <f t="shared" si="47"/>
        <v>-8.3</v>
      </c>
      <c r="AB160" s="168"/>
      <c r="AC160" s="168">
        <f t="shared" si="51"/>
        <v>-8.3</v>
      </c>
      <c r="AD160" s="529"/>
      <c r="AE160" s="128"/>
      <c r="AI160" s="174"/>
      <c r="AJ160" s="174"/>
      <c r="AM160" s="175">
        <f t="shared" si="55"/>
        <v>0</v>
      </c>
      <c r="AN160" s="176" t="s">
        <v>331</v>
      </c>
      <c r="AO160" s="177"/>
      <c r="AP160" s="189"/>
      <c r="AQ160" s="179"/>
      <c r="AR160" s="180"/>
      <c r="AS160" s="124"/>
      <c r="AT160" s="181">
        <f t="shared" si="53"/>
        <v>0</v>
      </c>
      <c r="AU160" s="182">
        <f t="shared" si="54"/>
        <v>0</v>
      </c>
      <c r="AV160" s="167">
        <f t="shared" si="49"/>
        <v>0</v>
      </c>
      <c r="AW160" s="579"/>
      <c r="AX160" s="110"/>
      <c r="BO160" s="159">
        <f t="shared" si="52"/>
        <v>0</v>
      </c>
      <c r="BP160" s="160">
        <f t="shared" si="50"/>
        <v>0</v>
      </c>
      <c r="BQ160" s="131"/>
      <c r="BR160" s="132"/>
      <c r="BS160" s="133"/>
      <c r="BT160" s="134"/>
      <c r="BU160" s="135"/>
    </row>
    <row r="161" spans="1:70" ht="93.75" customHeight="1" hidden="1">
      <c r="A161" s="337"/>
      <c r="B161" s="337" t="s">
        <v>181</v>
      </c>
      <c r="C161" s="338" t="s">
        <v>557</v>
      </c>
      <c r="D161" s="162" t="s">
        <v>186</v>
      </c>
      <c r="E161" s="227" t="s">
        <v>187</v>
      </c>
      <c r="F161" s="274" t="s">
        <v>188</v>
      </c>
      <c r="G161" s="339"/>
      <c r="H161" s="340"/>
      <c r="I161" s="603"/>
      <c r="J161" s="353"/>
      <c r="K161" s="353"/>
      <c r="L161" s="342"/>
      <c r="M161" s="162" t="s">
        <v>335</v>
      </c>
      <c r="N161" s="269">
        <v>30</v>
      </c>
      <c r="O161" s="343" t="s">
        <v>397</v>
      </c>
      <c r="P161" s="269">
        <v>52</v>
      </c>
      <c r="Q161" s="334"/>
      <c r="R161" s="334">
        <f>ROUND(N161*P161/60,1)</f>
        <v>26</v>
      </c>
      <c r="S161" s="56"/>
      <c r="T161" s="162" t="s">
        <v>330</v>
      </c>
      <c r="U161" s="600" t="s">
        <v>185</v>
      </c>
      <c r="V161" s="601"/>
      <c r="W161" s="602"/>
      <c r="X161" s="346"/>
      <c r="Y161" s="347"/>
      <c r="Z161" s="346"/>
      <c r="AA161" s="168">
        <f t="shared" si="47"/>
        <v>0</v>
      </c>
      <c r="AB161" s="168">
        <f>Z161-R161</f>
        <v>-26</v>
      </c>
      <c r="AC161" s="168">
        <f t="shared" si="51"/>
        <v>-26</v>
      </c>
      <c r="AD161" s="211">
        <f>Q161</f>
        <v>0</v>
      </c>
      <c r="AM161" s="175">
        <f t="shared" si="55"/>
        <v>0</v>
      </c>
      <c r="AN161" s="176" t="s">
        <v>331</v>
      </c>
      <c r="AO161" s="177"/>
      <c r="AP161" s="189"/>
      <c r="AQ161" s="179"/>
      <c r="AR161" s="180"/>
      <c r="AS161" s="124"/>
      <c r="AT161" s="181">
        <f t="shared" si="53"/>
        <v>0</v>
      </c>
      <c r="AU161" s="182">
        <f t="shared" si="54"/>
        <v>0</v>
      </c>
      <c r="AV161" s="167">
        <f t="shared" si="49"/>
        <v>0</v>
      </c>
      <c r="AW161" s="604"/>
      <c r="AX161" s="49"/>
      <c r="BO161" s="159">
        <f t="shared" si="52"/>
        <v>0</v>
      </c>
      <c r="BP161" s="160">
        <f t="shared" si="50"/>
        <v>0</v>
      </c>
      <c r="BQ161" s="131"/>
      <c r="BR161" s="132"/>
    </row>
    <row r="162" spans="1:73" s="358" customFormat="1" ht="58.5" customHeight="1">
      <c r="A162" s="355" t="s">
        <v>189</v>
      </c>
      <c r="B162" s="355" t="s">
        <v>557</v>
      </c>
      <c r="C162" s="356"/>
      <c r="D162" s="166" t="s">
        <v>190</v>
      </c>
      <c r="E162" s="163" t="s">
        <v>191</v>
      </c>
      <c r="F162" s="274" t="s">
        <v>192</v>
      </c>
      <c r="G162" s="343"/>
      <c r="H162" s="269"/>
      <c r="I162" s="343"/>
      <c r="J162" s="269"/>
      <c r="K162" s="269"/>
      <c r="L162" s="334"/>
      <c r="M162" s="162"/>
      <c r="N162" s="269"/>
      <c r="O162" s="343"/>
      <c r="P162" s="269"/>
      <c r="Q162" s="237"/>
      <c r="R162" s="334">
        <v>16.7</v>
      </c>
      <c r="S162" s="360"/>
      <c r="T162" s="162" t="s">
        <v>330</v>
      </c>
      <c r="U162" s="333">
        <v>18</v>
      </c>
      <c r="V162" s="170" t="s">
        <v>397</v>
      </c>
      <c r="W162" s="605" t="s">
        <v>193</v>
      </c>
      <c r="X162" s="187">
        <v>11.4</v>
      </c>
      <c r="Y162" s="172" t="e">
        <f>ROUND(U162*W162/60,1)</f>
        <v>#VALUE!</v>
      </c>
      <c r="Z162" s="334">
        <v>3.7</v>
      </c>
      <c r="AA162" s="168">
        <f t="shared" si="47"/>
        <v>11.4</v>
      </c>
      <c r="AB162" s="168">
        <v>-13</v>
      </c>
      <c r="AC162" s="168">
        <f t="shared" si="51"/>
        <v>-1.5999999999999996</v>
      </c>
      <c r="AD162" s="529"/>
      <c r="AE162" s="11"/>
      <c r="AI162" s="606" t="s">
        <v>194</v>
      </c>
      <c r="AM162" s="175" t="e">
        <f t="shared" si="55"/>
        <v>#VALUE!</v>
      </c>
      <c r="AN162" s="176" t="s">
        <v>331</v>
      </c>
      <c r="AO162" s="177">
        <v>18</v>
      </c>
      <c r="AP162" s="189" t="s">
        <v>377</v>
      </c>
      <c r="AQ162" s="607" t="s">
        <v>193</v>
      </c>
      <c r="AR162" s="180">
        <v>11.1</v>
      </c>
      <c r="AS162" s="124">
        <v>3.7</v>
      </c>
      <c r="AT162" s="181">
        <f t="shared" si="53"/>
        <v>-0.3000000000000007</v>
      </c>
      <c r="AU162" s="182">
        <f t="shared" si="54"/>
        <v>0</v>
      </c>
      <c r="AV162" s="167">
        <f t="shared" si="49"/>
        <v>-0.3000000000000007</v>
      </c>
      <c r="AW162" s="368"/>
      <c r="AX162" s="360"/>
      <c r="BO162" s="159">
        <f>ROUND(AO162*37/60,1)</f>
        <v>11.1</v>
      </c>
      <c r="BP162" s="160">
        <f t="shared" si="50"/>
        <v>0</v>
      </c>
      <c r="BQ162" s="131">
        <v>3.7</v>
      </c>
      <c r="BR162" s="132"/>
      <c r="BS162" s="608">
        <f>AS162-BQ162</f>
        <v>0</v>
      </c>
      <c r="BT162" s="350"/>
      <c r="BU162" s="609">
        <f>AS162</f>
        <v>3.7</v>
      </c>
    </row>
    <row r="163" spans="1:71" ht="57" customHeight="1">
      <c r="A163" s="558"/>
      <c r="B163" s="337"/>
      <c r="C163" s="338"/>
      <c r="D163" s="162" t="s">
        <v>195</v>
      </c>
      <c r="E163" s="352" t="s">
        <v>196</v>
      </c>
      <c r="F163" s="274" t="s">
        <v>197</v>
      </c>
      <c r="G163" s="339"/>
      <c r="H163" s="340"/>
      <c r="I163" s="339"/>
      <c r="J163" s="353"/>
      <c r="K163" s="353"/>
      <c r="L163" s="342"/>
      <c r="M163" s="162"/>
      <c r="N163" s="269"/>
      <c r="O163" s="343"/>
      <c r="P163" s="269"/>
      <c r="Q163" s="334"/>
      <c r="R163" s="334"/>
      <c r="S163" s="56"/>
      <c r="T163" s="162" t="s">
        <v>330</v>
      </c>
      <c r="U163" s="345">
        <v>26</v>
      </c>
      <c r="V163" s="170" t="s">
        <v>115</v>
      </c>
      <c r="W163" s="345">
        <f>10*4</f>
        <v>40</v>
      </c>
      <c r="X163" s="334">
        <v>17.3</v>
      </c>
      <c r="Y163" s="172"/>
      <c r="Z163" s="360"/>
      <c r="AA163" s="168">
        <f>X163-Q163</f>
        <v>17.3</v>
      </c>
      <c r="AB163" s="168"/>
      <c r="AC163" s="168">
        <f>AB163+AA163</f>
        <v>17.3</v>
      </c>
      <c r="AD163" s="211"/>
      <c r="AE163" s="557"/>
      <c r="AM163" s="175" t="e">
        <f>#REF!-Y163</f>
        <v>#REF!</v>
      </c>
      <c r="AN163" s="176" t="s">
        <v>331</v>
      </c>
      <c r="AO163" s="177">
        <v>25.6</v>
      </c>
      <c r="AP163" s="178" t="s">
        <v>115</v>
      </c>
      <c r="AQ163" s="179">
        <v>36</v>
      </c>
      <c r="AR163" s="180">
        <v>15.4</v>
      </c>
      <c r="AS163" s="124"/>
      <c r="AT163" s="181">
        <f t="shared" si="53"/>
        <v>-1.9000000000000004</v>
      </c>
      <c r="AU163" s="182">
        <f t="shared" si="54"/>
        <v>0</v>
      </c>
      <c r="AV163" s="167">
        <f>AT163+AU163</f>
        <v>-1.9000000000000004</v>
      </c>
      <c r="AW163" s="604"/>
      <c r="AX163" s="49"/>
      <c r="BO163" s="159">
        <f>ROUND(AO163*AQ163/60,1)</f>
        <v>15.4</v>
      </c>
      <c r="BP163" s="160">
        <f>AR163-BO163</f>
        <v>0</v>
      </c>
      <c r="BQ163" s="330"/>
      <c r="BR163" s="198"/>
      <c r="BS163" s="608">
        <f>AS163-BQ163</f>
        <v>0</v>
      </c>
    </row>
    <row r="164" spans="1:73" ht="50.25" customHeight="1">
      <c r="A164" s="337"/>
      <c r="B164" s="337" t="s">
        <v>557</v>
      </c>
      <c r="C164" s="338" t="s">
        <v>557</v>
      </c>
      <c r="D164" s="162" t="s">
        <v>198</v>
      </c>
      <c r="E164" s="352" t="s">
        <v>199</v>
      </c>
      <c r="F164" s="274" t="s">
        <v>197</v>
      </c>
      <c r="G164" s="339"/>
      <c r="H164" s="340"/>
      <c r="I164" s="339"/>
      <c r="J164" s="353"/>
      <c r="K164" s="353"/>
      <c r="L164" s="342"/>
      <c r="M164" s="162" t="s">
        <v>335</v>
      </c>
      <c r="N164" s="269">
        <v>50</v>
      </c>
      <c r="O164" s="343" t="s">
        <v>200</v>
      </c>
      <c r="P164" s="269">
        <v>100</v>
      </c>
      <c r="Q164" s="334"/>
      <c r="R164" s="334">
        <f>ROUND(N164*P164/60,1)</f>
        <v>83.3</v>
      </c>
      <c r="S164" s="56"/>
      <c r="T164" s="162" t="s">
        <v>330</v>
      </c>
      <c r="U164" s="345">
        <v>39</v>
      </c>
      <c r="V164" s="170" t="s">
        <v>397</v>
      </c>
      <c r="W164" s="345">
        <v>84</v>
      </c>
      <c r="X164" s="346"/>
      <c r="Y164" s="347"/>
      <c r="Z164" s="346">
        <v>54.6</v>
      </c>
      <c r="AA164" s="168">
        <f t="shared" si="47"/>
        <v>0</v>
      </c>
      <c r="AB164" s="168">
        <f>Z164-R164</f>
        <v>-28.699999999999996</v>
      </c>
      <c r="AC164" s="168">
        <f t="shared" si="51"/>
        <v>-28.699999999999996</v>
      </c>
      <c r="AD164" s="211">
        <f>Q164</f>
        <v>0</v>
      </c>
      <c r="AE164" s="557">
        <f>SUM(R161:R164)</f>
        <v>126</v>
      </c>
      <c r="AM164" s="175">
        <f t="shared" si="55"/>
        <v>0</v>
      </c>
      <c r="AN164" s="176" t="s">
        <v>331</v>
      </c>
      <c r="AO164" s="177"/>
      <c r="AP164" s="178" t="s">
        <v>397</v>
      </c>
      <c r="AQ164" s="179">
        <v>71</v>
      </c>
      <c r="AR164" s="180"/>
      <c r="AS164" s="124">
        <v>47</v>
      </c>
      <c r="AT164" s="181">
        <f t="shared" si="53"/>
        <v>0</v>
      </c>
      <c r="AU164" s="182">
        <f t="shared" si="54"/>
        <v>-7.600000000000001</v>
      </c>
      <c r="AV164" s="167">
        <f t="shared" si="49"/>
        <v>-7.600000000000001</v>
      </c>
      <c r="AW164" s="604"/>
      <c r="AX164" s="49"/>
      <c r="BO164" s="159">
        <f t="shared" si="52"/>
        <v>0</v>
      </c>
      <c r="BP164" s="160">
        <f t="shared" si="50"/>
        <v>0</v>
      </c>
      <c r="BQ164" s="330">
        <v>47</v>
      </c>
      <c r="BR164" s="198"/>
      <c r="BS164" s="608">
        <f aca="true" t="shared" si="57" ref="BS164:BS170">AS164-BQ164</f>
        <v>0</v>
      </c>
      <c r="BU164" s="609">
        <f>AS164</f>
        <v>47</v>
      </c>
    </row>
    <row r="165" spans="1:73" ht="50.25" customHeight="1">
      <c r="A165" s="558"/>
      <c r="B165" s="337" t="s">
        <v>557</v>
      </c>
      <c r="C165" s="338"/>
      <c r="D165" s="162" t="s">
        <v>201</v>
      </c>
      <c r="E165" s="352"/>
      <c r="F165" s="274" t="s">
        <v>197</v>
      </c>
      <c r="G165" s="339"/>
      <c r="H165" s="340"/>
      <c r="I165" s="339"/>
      <c r="J165" s="353"/>
      <c r="K165" s="353"/>
      <c r="L165" s="342"/>
      <c r="M165" s="162"/>
      <c r="N165" s="269"/>
      <c r="O165" s="343"/>
      <c r="P165" s="269"/>
      <c r="Q165" s="334"/>
      <c r="R165" s="334"/>
      <c r="S165" s="56"/>
      <c r="T165" s="162" t="s">
        <v>330</v>
      </c>
      <c r="U165" s="345">
        <v>79</v>
      </c>
      <c r="V165" s="366"/>
      <c r="W165" s="345">
        <v>5</v>
      </c>
      <c r="X165" s="346"/>
      <c r="Y165" s="347"/>
      <c r="Z165" s="346">
        <v>6.6</v>
      </c>
      <c r="AA165" s="168">
        <f t="shared" si="47"/>
        <v>0</v>
      </c>
      <c r="AB165" s="168">
        <f>Z165-R165</f>
        <v>6.6</v>
      </c>
      <c r="AC165" s="168">
        <f t="shared" si="51"/>
        <v>6.6</v>
      </c>
      <c r="AD165" s="211"/>
      <c r="AE165" s="557"/>
      <c r="AM165" s="175">
        <f t="shared" si="55"/>
        <v>0</v>
      </c>
      <c r="AN165" s="176" t="s">
        <v>331</v>
      </c>
      <c r="AO165" s="177"/>
      <c r="AP165" s="189"/>
      <c r="AQ165" s="179">
        <v>8</v>
      </c>
      <c r="AR165" s="180"/>
      <c r="AS165" s="124">
        <v>14.1</v>
      </c>
      <c r="AT165" s="181">
        <f t="shared" si="53"/>
        <v>0</v>
      </c>
      <c r="AU165" s="182">
        <f t="shared" si="54"/>
        <v>7.5</v>
      </c>
      <c r="AV165" s="167">
        <f t="shared" si="49"/>
        <v>7.5</v>
      </c>
      <c r="AW165" s="604"/>
      <c r="AX165" s="49"/>
      <c r="BO165" s="159">
        <f t="shared" si="52"/>
        <v>0</v>
      </c>
      <c r="BP165" s="160">
        <f t="shared" si="50"/>
        <v>0</v>
      </c>
      <c r="BQ165" s="330">
        <v>14.1</v>
      </c>
      <c r="BR165" s="198"/>
      <c r="BS165" s="608">
        <f t="shared" si="57"/>
        <v>0</v>
      </c>
      <c r="BU165" s="609">
        <f>AS165</f>
        <v>14.1</v>
      </c>
    </row>
    <row r="166" spans="1:73" ht="57" customHeight="1">
      <c r="A166" s="558"/>
      <c r="B166" s="337"/>
      <c r="C166" s="338"/>
      <c r="D166" s="166" t="s">
        <v>202</v>
      </c>
      <c r="E166" s="191" t="s">
        <v>203</v>
      </c>
      <c r="F166" s="610" t="s">
        <v>204</v>
      </c>
      <c r="G166" s="339"/>
      <c r="H166" s="340"/>
      <c r="I166" s="339"/>
      <c r="J166" s="353"/>
      <c r="K166" s="353"/>
      <c r="L166" s="342"/>
      <c r="M166" s="162"/>
      <c r="N166" s="269"/>
      <c r="O166" s="343"/>
      <c r="P166" s="269"/>
      <c r="Q166" s="334"/>
      <c r="R166" s="334"/>
      <c r="S166" s="56"/>
      <c r="T166" s="162"/>
      <c r="U166" s="345"/>
      <c r="V166" s="170"/>
      <c r="W166" s="345"/>
      <c r="X166" s="334"/>
      <c r="Y166" s="172"/>
      <c r="Z166" s="360"/>
      <c r="AA166" s="168"/>
      <c r="AB166" s="168"/>
      <c r="AC166" s="168"/>
      <c r="AD166" s="211"/>
      <c r="AE166" s="557"/>
      <c r="AM166" s="175"/>
      <c r="AN166" s="176" t="s">
        <v>331</v>
      </c>
      <c r="AO166" s="177">
        <v>61</v>
      </c>
      <c r="AP166" s="178"/>
      <c r="AQ166" s="179">
        <v>8</v>
      </c>
      <c r="AR166" s="180"/>
      <c r="AS166" s="124">
        <v>8.1</v>
      </c>
      <c r="AT166" s="181">
        <f t="shared" si="53"/>
        <v>0</v>
      </c>
      <c r="AU166" s="182">
        <f t="shared" si="54"/>
        <v>8.1</v>
      </c>
      <c r="AV166" s="167">
        <f t="shared" si="49"/>
        <v>8.1</v>
      </c>
      <c r="AW166" s="604"/>
      <c r="AX166" s="49"/>
      <c r="BO166" s="159"/>
      <c r="BP166" s="160"/>
      <c r="BQ166" s="330">
        <f>ROUND(AO166*AQ166/60,1)</f>
        <v>8.1</v>
      </c>
      <c r="BR166" s="198"/>
      <c r="BS166" s="608">
        <f t="shared" si="57"/>
        <v>0</v>
      </c>
      <c r="BU166" s="609">
        <f>AS166</f>
        <v>8.1</v>
      </c>
    </row>
    <row r="167" spans="1:73" ht="57" customHeight="1">
      <c r="A167" s="558"/>
      <c r="B167" s="337"/>
      <c r="C167" s="338"/>
      <c r="D167" s="162" t="s">
        <v>205</v>
      </c>
      <c r="E167" s="162" t="s">
        <v>206</v>
      </c>
      <c r="F167" s="274" t="s">
        <v>125</v>
      </c>
      <c r="G167" s="339"/>
      <c r="H167" s="340"/>
      <c r="I167" s="339"/>
      <c r="J167" s="353"/>
      <c r="K167" s="353"/>
      <c r="L167" s="342"/>
      <c r="M167" s="162"/>
      <c r="N167" s="269"/>
      <c r="O167" s="343"/>
      <c r="P167" s="269"/>
      <c r="Q167" s="334"/>
      <c r="R167" s="334"/>
      <c r="S167" s="56"/>
      <c r="T167" s="162"/>
      <c r="U167" s="345"/>
      <c r="V167" s="170"/>
      <c r="W167" s="345"/>
      <c r="X167" s="334"/>
      <c r="Y167" s="172"/>
      <c r="Z167" s="360"/>
      <c r="AA167" s="168"/>
      <c r="AB167" s="168"/>
      <c r="AC167" s="168"/>
      <c r="AD167" s="211"/>
      <c r="AE167" s="557"/>
      <c r="AM167" s="175"/>
      <c r="AN167" s="176" t="s">
        <v>331</v>
      </c>
      <c r="AO167" s="177">
        <v>59</v>
      </c>
      <c r="AP167" s="178"/>
      <c r="AQ167" s="179">
        <v>3</v>
      </c>
      <c r="AR167" s="180"/>
      <c r="AS167" s="124">
        <v>3</v>
      </c>
      <c r="AT167" s="181">
        <f t="shared" si="53"/>
        <v>0</v>
      </c>
      <c r="AU167" s="182">
        <f t="shared" si="54"/>
        <v>3</v>
      </c>
      <c r="AV167" s="167">
        <f t="shared" si="49"/>
        <v>3</v>
      </c>
      <c r="AW167" s="604"/>
      <c r="AX167" s="49"/>
      <c r="BO167" s="159"/>
      <c r="BP167" s="160"/>
      <c r="BQ167" s="330">
        <f>ROUND(AO167*AQ167/60,1)</f>
        <v>3</v>
      </c>
      <c r="BR167" s="198"/>
      <c r="BS167" s="608">
        <f t="shared" si="57"/>
        <v>0</v>
      </c>
      <c r="BU167" s="609">
        <f>AS167</f>
        <v>3</v>
      </c>
    </row>
    <row r="168" spans="1:73" ht="44.25" customHeight="1">
      <c r="A168" s="558"/>
      <c r="B168" s="337"/>
      <c r="C168" s="338"/>
      <c r="D168" s="166" t="s">
        <v>207</v>
      </c>
      <c r="E168" s="352" t="s">
        <v>208</v>
      </c>
      <c r="F168" s="274" t="s">
        <v>473</v>
      </c>
      <c r="G168" s="339"/>
      <c r="H168" s="340"/>
      <c r="I168" s="339"/>
      <c r="J168" s="353"/>
      <c r="K168" s="353"/>
      <c r="L168" s="342"/>
      <c r="M168" s="162"/>
      <c r="N168" s="269"/>
      <c r="O168" s="343"/>
      <c r="P168" s="269"/>
      <c r="Q168" s="334"/>
      <c r="R168" s="334"/>
      <c r="S168" s="56"/>
      <c r="T168" s="162"/>
      <c r="U168" s="345"/>
      <c r="V168" s="170"/>
      <c r="W168" s="345"/>
      <c r="X168" s="334"/>
      <c r="Y168" s="172"/>
      <c r="Z168" s="360"/>
      <c r="AA168" s="168"/>
      <c r="AB168" s="168"/>
      <c r="AC168" s="168"/>
      <c r="AD168" s="211"/>
      <c r="AE168" s="557"/>
      <c r="AM168" s="175"/>
      <c r="AN168" s="176" t="s">
        <v>331</v>
      </c>
      <c r="AO168" s="177">
        <v>137</v>
      </c>
      <c r="AP168" s="178"/>
      <c r="AQ168" s="179">
        <v>1</v>
      </c>
      <c r="AR168" s="180"/>
      <c r="AS168" s="124">
        <v>2.3</v>
      </c>
      <c r="AT168" s="181">
        <f t="shared" si="53"/>
        <v>0</v>
      </c>
      <c r="AU168" s="182">
        <f t="shared" si="54"/>
        <v>2.3</v>
      </c>
      <c r="AV168" s="167">
        <f t="shared" si="49"/>
        <v>2.3</v>
      </c>
      <c r="AW168" s="604"/>
      <c r="AX168" s="49"/>
      <c r="BO168" s="159"/>
      <c r="BP168" s="160"/>
      <c r="BQ168" s="330">
        <f>ROUND(AO168*AQ168/60,1)</f>
        <v>2.3</v>
      </c>
      <c r="BR168" s="198"/>
      <c r="BS168" s="608">
        <f t="shared" si="57"/>
        <v>0</v>
      </c>
      <c r="BU168" s="609">
        <f>AS168</f>
        <v>2.3</v>
      </c>
    </row>
    <row r="169" spans="2:73" s="80" customFormat="1" ht="40.5" customHeight="1">
      <c r="B169" s="111" t="s">
        <v>557</v>
      </c>
      <c r="C169" s="215"/>
      <c r="D169" s="162" t="s">
        <v>209</v>
      </c>
      <c r="E169" s="163" t="s">
        <v>210</v>
      </c>
      <c r="F169" s="224" t="s">
        <v>211</v>
      </c>
      <c r="G169" s="162" t="s">
        <v>335</v>
      </c>
      <c r="H169" s="162"/>
      <c r="I169" s="162"/>
      <c r="J169" s="162"/>
      <c r="K169" s="165"/>
      <c r="L169" s="165">
        <v>200</v>
      </c>
      <c r="M169" s="162"/>
      <c r="N169" s="166"/>
      <c r="O169" s="166"/>
      <c r="P169" s="166"/>
      <c r="Q169" s="167"/>
      <c r="R169" s="168">
        <v>200</v>
      </c>
      <c r="S169" s="115"/>
      <c r="T169" s="162" t="s">
        <v>330</v>
      </c>
      <c r="U169" s="169"/>
      <c r="V169" s="170"/>
      <c r="W169" s="169"/>
      <c r="X169" s="193"/>
      <c r="Y169" s="188"/>
      <c r="Z169" s="193">
        <f>440-17.3</f>
        <v>422.7</v>
      </c>
      <c r="AA169" s="168">
        <f t="shared" si="47"/>
        <v>0</v>
      </c>
      <c r="AB169" s="168">
        <f>Z169-R169</f>
        <v>222.7</v>
      </c>
      <c r="AC169" s="168">
        <f t="shared" si="51"/>
        <v>222.7</v>
      </c>
      <c r="AD169" s="211">
        <f>Q169</f>
        <v>0</v>
      </c>
      <c r="AE169" s="128"/>
      <c r="AI169" s="174"/>
      <c r="AJ169" s="174"/>
      <c r="AM169" s="175">
        <f>X169-Y169</f>
        <v>0</v>
      </c>
      <c r="AN169" s="176" t="s">
        <v>331</v>
      </c>
      <c r="AO169" s="177"/>
      <c r="AP169" s="189"/>
      <c r="AQ169" s="179"/>
      <c r="AR169" s="180"/>
      <c r="AS169" s="124">
        <v>421</v>
      </c>
      <c r="AT169" s="181">
        <f t="shared" si="53"/>
        <v>0</v>
      </c>
      <c r="AU169" s="182">
        <f t="shared" si="54"/>
        <v>-1.6999999999999886</v>
      </c>
      <c r="AV169" s="167">
        <f t="shared" si="49"/>
        <v>-1.6999999999999886</v>
      </c>
      <c r="AW169" s="579"/>
      <c r="AX169" s="110"/>
      <c r="BO169" s="159">
        <f t="shared" si="52"/>
        <v>0</v>
      </c>
      <c r="BP169" s="160">
        <f t="shared" si="50"/>
        <v>0</v>
      </c>
      <c r="BQ169" s="330">
        <v>421.8</v>
      </c>
      <c r="BR169" s="198"/>
      <c r="BS169" s="608">
        <f>AS169</f>
        <v>421</v>
      </c>
      <c r="BT169" s="134"/>
      <c r="BU169" s="135"/>
    </row>
    <row r="170" spans="2:73" s="389" customFormat="1" ht="22.5" customHeight="1">
      <c r="B170" s="378"/>
      <c r="C170" s="379"/>
      <c r="D170" s="381" t="s">
        <v>549</v>
      </c>
      <c r="E170" s="611"/>
      <c r="F170" s="611"/>
      <c r="G170" s="381"/>
      <c r="H170" s="381"/>
      <c r="I170" s="381"/>
      <c r="J170" s="381"/>
      <c r="K170" s="382"/>
      <c r="L170" s="382">
        <v>170</v>
      </c>
      <c r="M170" s="381"/>
      <c r="N170" s="383"/>
      <c r="O170" s="383"/>
      <c r="P170" s="383"/>
      <c r="Q170" s="384"/>
      <c r="R170" s="384">
        <f>170-AE164</f>
        <v>44</v>
      </c>
      <c r="S170" s="385"/>
      <c r="T170" s="162" t="s">
        <v>330</v>
      </c>
      <c r="U170" s="386"/>
      <c r="V170" s="387"/>
      <c r="W170" s="386"/>
      <c r="X170" s="383"/>
      <c r="Y170" s="388"/>
      <c r="Z170" s="383">
        <v>328.8</v>
      </c>
      <c r="AA170" s="168">
        <f t="shared" si="47"/>
        <v>0</v>
      </c>
      <c r="AB170" s="612">
        <v>284.2</v>
      </c>
      <c r="AC170" s="612">
        <f>AB170+AA170</f>
        <v>284.2</v>
      </c>
      <c r="AD170" s="211">
        <f>Q170</f>
        <v>0</v>
      </c>
      <c r="AE170" s="390"/>
      <c r="AI170" s="391"/>
      <c r="AJ170" s="391"/>
      <c r="AM170" s="175">
        <f>X170-Y170</f>
        <v>0</v>
      </c>
      <c r="AN170" s="176"/>
      <c r="AO170" s="177"/>
      <c r="AP170" s="189"/>
      <c r="AQ170" s="179"/>
      <c r="AR170" s="180"/>
      <c r="AS170" s="124">
        <f>337.9</f>
        <v>337.9</v>
      </c>
      <c r="AT170" s="181">
        <f t="shared" si="53"/>
        <v>0</v>
      </c>
      <c r="AU170" s="182">
        <f t="shared" si="54"/>
        <v>9.099999999999966</v>
      </c>
      <c r="AV170" s="167">
        <f t="shared" si="49"/>
        <v>9.099999999999966</v>
      </c>
      <c r="AW170" s="564"/>
      <c r="AX170" s="377"/>
      <c r="BO170" s="159">
        <f t="shared" si="52"/>
        <v>0</v>
      </c>
      <c r="BP170" s="160">
        <f t="shared" si="50"/>
        <v>0</v>
      </c>
      <c r="BQ170" s="330">
        <v>372</v>
      </c>
      <c r="BR170" s="198"/>
      <c r="BS170" s="608">
        <f t="shared" si="57"/>
        <v>-34.10000000000002</v>
      </c>
      <c r="BT170" s="394">
        <f>AS170</f>
        <v>337.9</v>
      </c>
      <c r="BU170" s="395"/>
    </row>
    <row r="171" spans="2:73" s="409" customFormat="1" ht="27.75" customHeight="1">
      <c r="B171" s="398"/>
      <c r="C171" s="399"/>
      <c r="D171" s="400" t="s">
        <v>121</v>
      </c>
      <c r="E171" s="401"/>
      <c r="F171" s="401"/>
      <c r="G171" s="400"/>
      <c r="H171" s="400"/>
      <c r="I171" s="400"/>
      <c r="J171" s="400">
        <f>SUM(J140:J170)</f>
        <v>317</v>
      </c>
      <c r="K171" s="402">
        <f>SUM(K140:K170)</f>
        <v>250.53</v>
      </c>
      <c r="L171" s="402">
        <f>SUM(L140:L170)</f>
        <v>370</v>
      </c>
      <c r="M171" s="400"/>
      <c r="N171" s="403"/>
      <c r="O171" s="403"/>
      <c r="P171" s="403"/>
      <c r="Q171" s="405">
        <f>SUM(Q140:Q170)</f>
        <v>388.40000000000003</v>
      </c>
      <c r="R171" s="404">
        <f>SUM(R140:R170)</f>
        <v>370</v>
      </c>
      <c r="S171" s="613">
        <f>SUM(S140:S170)</f>
        <v>133.57</v>
      </c>
      <c r="T171" s="407"/>
      <c r="U171" s="408"/>
      <c r="V171" s="407"/>
      <c r="W171" s="408"/>
      <c r="X171" s="404">
        <f>SUM(X140:X170)</f>
        <v>443.90000000000003</v>
      </c>
      <c r="Y171" s="404" t="e">
        <f>SUM(Y140:Y170)</f>
        <v>#VALUE!</v>
      </c>
      <c r="Z171" s="404">
        <f>SUM(Z140:Z170)</f>
        <v>816.4000000000001</v>
      </c>
      <c r="AA171" s="404">
        <f>X171-Q171</f>
        <v>55.5</v>
      </c>
      <c r="AB171" s="404">
        <f>Z171-R171</f>
        <v>446.4000000000001</v>
      </c>
      <c r="AC171" s="404">
        <f>AB171+AA171</f>
        <v>501.9000000000001</v>
      </c>
      <c r="AD171" s="211">
        <f>SUM(AD140:AD170)</f>
        <v>332.3</v>
      </c>
      <c r="AE171" s="614">
        <f>423.7-Q171</f>
        <v>35.299999999999955</v>
      </c>
      <c r="AI171" s="411"/>
      <c r="AJ171" s="411"/>
      <c r="AM171" s="175" t="e">
        <f aca="true" t="shared" si="58" ref="AM171:AM185">X171-Y171</f>
        <v>#VALUE!</v>
      </c>
      <c r="AN171" s="412"/>
      <c r="AO171" s="413"/>
      <c r="AP171" s="414"/>
      <c r="AQ171" s="415"/>
      <c r="AR171" s="416">
        <f>SUM(AR140:AR170)</f>
        <v>406.4</v>
      </c>
      <c r="AS171" s="416">
        <f>SUM(AS140:AS170)</f>
        <v>837.0999999999999</v>
      </c>
      <c r="AT171" s="417">
        <f t="shared" si="53"/>
        <v>-37.50000000000006</v>
      </c>
      <c r="AU171" s="506">
        <f t="shared" si="54"/>
        <v>20.699999999999818</v>
      </c>
      <c r="AV171" s="167">
        <f t="shared" si="49"/>
        <v>-16.80000000000024</v>
      </c>
      <c r="AW171" s="567"/>
      <c r="AX171" s="615">
        <f>X171</f>
        <v>443.90000000000003</v>
      </c>
      <c r="AY171" s="616"/>
      <c r="AZ171" s="617">
        <f>Z171</f>
        <v>816.4000000000001</v>
      </c>
      <c r="BA171" s="617">
        <f>AX171+AZ171</f>
        <v>1260.3000000000002</v>
      </c>
      <c r="BB171" s="421">
        <f>Q171</f>
        <v>388.40000000000003</v>
      </c>
      <c r="BC171" s="421">
        <f>R171</f>
        <v>370</v>
      </c>
      <c r="BD171" s="618">
        <f>Q171+R171</f>
        <v>758.4000000000001</v>
      </c>
      <c r="BE171" s="422">
        <f>BA171-BD171</f>
        <v>501.9000000000001</v>
      </c>
      <c r="BO171" s="619">
        <f>SUM(BO140:BO170)</f>
        <v>407.8</v>
      </c>
      <c r="BP171" s="160">
        <f t="shared" si="50"/>
        <v>-1.400000000000034</v>
      </c>
      <c r="BQ171" s="620">
        <f>SUM(BQ140:BQ170)</f>
        <v>872</v>
      </c>
      <c r="BR171" s="621"/>
      <c r="BS171" s="423">
        <f>SUM(BS140:BS170)</f>
        <v>386.9</v>
      </c>
      <c r="BT171" s="568">
        <f>SUM(BT140:BT170)</f>
        <v>337.9</v>
      </c>
      <c r="BU171" s="568">
        <f>SUM(BU140:BU170)</f>
        <v>78.19999999999999</v>
      </c>
    </row>
    <row r="172" spans="1:73" s="80" customFormat="1" ht="31.5" customHeight="1">
      <c r="A172" s="110">
        <v>5</v>
      </c>
      <c r="B172" s="111"/>
      <c r="C172" s="111"/>
      <c r="D172" s="428" t="s">
        <v>212</v>
      </c>
      <c r="E172" s="428"/>
      <c r="F172" s="428"/>
      <c r="G172" s="428"/>
      <c r="H172" s="428"/>
      <c r="I172" s="428"/>
      <c r="J172" s="428"/>
      <c r="K172" s="428"/>
      <c r="L172" s="428"/>
      <c r="M172" s="429"/>
      <c r="N172" s="429"/>
      <c r="O172" s="429"/>
      <c r="P172" s="429"/>
      <c r="Q172" s="429"/>
      <c r="R172" s="429"/>
      <c r="S172" s="115"/>
      <c r="T172" s="170"/>
      <c r="U172" s="169"/>
      <c r="V172" s="170"/>
      <c r="W172" s="169"/>
      <c r="X172" s="193"/>
      <c r="Y172" s="188"/>
      <c r="Z172" s="166"/>
      <c r="AA172" s="168"/>
      <c r="AB172" s="168"/>
      <c r="AC172" s="168"/>
      <c r="AD172" s="110"/>
      <c r="AE172" s="110"/>
      <c r="AF172" s="110"/>
      <c r="AG172" s="110"/>
      <c r="AH172" s="110"/>
      <c r="AI172" s="121"/>
      <c r="AJ172" s="121"/>
      <c r="AK172" s="110"/>
      <c r="AL172" s="110"/>
      <c r="AM172" s="122">
        <f t="shared" si="58"/>
        <v>0</v>
      </c>
      <c r="AN172" s="176"/>
      <c r="AO172" s="177"/>
      <c r="AP172" s="189"/>
      <c r="AQ172" s="179"/>
      <c r="AR172" s="180"/>
      <c r="AS172" s="124"/>
      <c r="AT172" s="181">
        <f t="shared" si="53"/>
        <v>0</v>
      </c>
      <c r="AU172" s="182">
        <f t="shared" si="54"/>
        <v>0</v>
      </c>
      <c r="AV172" s="167">
        <f t="shared" si="49"/>
        <v>0</v>
      </c>
      <c r="AW172" s="579"/>
      <c r="AX172" s="110"/>
      <c r="BO172" s="159">
        <f t="shared" si="52"/>
        <v>0</v>
      </c>
      <c r="BP172" s="160">
        <f t="shared" si="50"/>
        <v>0</v>
      </c>
      <c r="BQ172" s="131"/>
      <c r="BR172" s="132"/>
      <c r="BS172" s="133"/>
      <c r="BT172" s="134"/>
      <c r="BU172" s="135"/>
    </row>
    <row r="173" spans="1:73" s="80" customFormat="1" ht="41.25" customHeight="1">
      <c r="A173" s="80">
        <v>5</v>
      </c>
      <c r="B173" s="430" t="s">
        <v>181</v>
      </c>
      <c r="C173" s="431" t="s">
        <v>181</v>
      </c>
      <c r="D173" s="139" t="s">
        <v>213</v>
      </c>
      <c r="E173" s="622" t="s">
        <v>214</v>
      </c>
      <c r="F173" s="623" t="s">
        <v>215</v>
      </c>
      <c r="G173" s="139" t="s">
        <v>335</v>
      </c>
      <c r="H173" s="139">
        <v>20</v>
      </c>
      <c r="I173" s="139" t="s">
        <v>381</v>
      </c>
      <c r="J173" s="139">
        <v>208</v>
      </c>
      <c r="K173" s="433">
        <v>69.3</v>
      </c>
      <c r="L173" s="433"/>
      <c r="M173" s="139" t="s">
        <v>335</v>
      </c>
      <c r="N173" s="434">
        <v>20</v>
      </c>
      <c r="O173" s="434" t="s">
        <v>381</v>
      </c>
      <c r="P173" s="434">
        <v>208</v>
      </c>
      <c r="Q173" s="158">
        <v>69.3</v>
      </c>
      <c r="R173" s="437"/>
      <c r="S173" s="512">
        <f>Q173-K173</f>
        <v>0</v>
      </c>
      <c r="T173" s="437" t="s">
        <v>330</v>
      </c>
      <c r="U173" s="509">
        <v>20</v>
      </c>
      <c r="V173" s="578" t="s">
        <v>216</v>
      </c>
      <c r="W173" s="509">
        <v>184</v>
      </c>
      <c r="X173" s="510">
        <v>61.3</v>
      </c>
      <c r="Y173" s="624">
        <v>61.3</v>
      </c>
      <c r="Z173" s="513"/>
      <c r="AA173" s="435">
        <f aca="true" t="shared" si="59" ref="AA173:AA182">X173-Q173</f>
        <v>-8</v>
      </c>
      <c r="AB173" s="435"/>
      <c r="AC173" s="435">
        <f aca="true" t="shared" si="60" ref="AC173:AC189">AB173+AA173</f>
        <v>-8</v>
      </c>
      <c r="AD173" s="211"/>
      <c r="AE173" s="128"/>
      <c r="AI173" s="174"/>
      <c r="AJ173" s="174"/>
      <c r="AM173" s="175">
        <f t="shared" si="58"/>
        <v>0</v>
      </c>
      <c r="AN173" s="441" t="s">
        <v>331</v>
      </c>
      <c r="AO173" s="442">
        <v>19.3</v>
      </c>
      <c r="AP173" s="443" t="s">
        <v>217</v>
      </c>
      <c r="AQ173" s="444">
        <v>184</v>
      </c>
      <c r="AR173" s="152">
        <v>59.2</v>
      </c>
      <c r="AS173" s="155"/>
      <c r="AT173" s="156">
        <f t="shared" si="53"/>
        <v>-2.0999999999999943</v>
      </c>
      <c r="AU173" s="182">
        <f t="shared" si="54"/>
        <v>0</v>
      </c>
      <c r="AV173" s="167">
        <f t="shared" si="49"/>
        <v>-2.0999999999999943</v>
      </c>
      <c r="AW173" s="579"/>
      <c r="AX173" s="110"/>
      <c r="BO173" s="159">
        <f t="shared" si="52"/>
        <v>59.2</v>
      </c>
      <c r="BP173" s="160">
        <f t="shared" si="50"/>
        <v>0</v>
      </c>
      <c r="BQ173" s="131"/>
      <c r="BR173" s="132"/>
      <c r="BS173" s="133"/>
      <c r="BT173" s="134"/>
      <c r="BU173" s="135"/>
    </row>
    <row r="174" spans="1:73" s="80" customFormat="1" ht="45" customHeight="1">
      <c r="A174" s="80">
        <v>5</v>
      </c>
      <c r="B174" s="111" t="s">
        <v>181</v>
      </c>
      <c r="C174" s="215" t="s">
        <v>181</v>
      </c>
      <c r="D174" s="162" t="s">
        <v>218</v>
      </c>
      <c r="E174" s="232" t="s">
        <v>219</v>
      </c>
      <c r="F174" s="274" t="s">
        <v>220</v>
      </c>
      <c r="G174" s="162" t="s">
        <v>335</v>
      </c>
      <c r="H174" s="162">
        <v>20</v>
      </c>
      <c r="I174" s="162" t="s">
        <v>377</v>
      </c>
      <c r="J174" s="162">
        <v>52</v>
      </c>
      <c r="K174" s="165">
        <v>17.3</v>
      </c>
      <c r="L174" s="165"/>
      <c r="M174" s="162" t="s">
        <v>335</v>
      </c>
      <c r="N174" s="166">
        <v>20</v>
      </c>
      <c r="O174" s="166" t="s">
        <v>377</v>
      </c>
      <c r="P174" s="166">
        <v>52</v>
      </c>
      <c r="Q174" s="167">
        <v>17.3</v>
      </c>
      <c r="R174" s="383"/>
      <c r="S174" s="208">
        <f>Q174-K174</f>
        <v>0</v>
      </c>
      <c r="T174" s="166" t="s">
        <v>330</v>
      </c>
      <c r="U174" s="205">
        <v>20</v>
      </c>
      <c r="V174" s="209" t="s">
        <v>130</v>
      </c>
      <c r="W174" s="205">
        <v>46</v>
      </c>
      <c r="X174" s="206">
        <v>15.3</v>
      </c>
      <c r="Y174" s="226">
        <v>15.3</v>
      </c>
      <c r="Z174" s="210"/>
      <c r="AA174" s="168">
        <f t="shared" si="59"/>
        <v>-2</v>
      </c>
      <c r="AB174" s="168"/>
      <c r="AC174" s="168">
        <f t="shared" si="60"/>
        <v>-2</v>
      </c>
      <c r="AD174" s="211"/>
      <c r="AE174" s="128"/>
      <c r="AI174" s="174"/>
      <c r="AJ174" s="174"/>
      <c r="AM174" s="175">
        <f t="shared" si="58"/>
        <v>0</v>
      </c>
      <c r="AN174" s="176" t="s">
        <v>331</v>
      </c>
      <c r="AO174" s="177">
        <v>20.3</v>
      </c>
      <c r="AP174" s="189" t="s">
        <v>221</v>
      </c>
      <c r="AQ174" s="179">
        <v>36</v>
      </c>
      <c r="AR174" s="180">
        <v>12.2</v>
      </c>
      <c r="AS174" s="124"/>
      <c r="AT174" s="181">
        <f t="shared" si="53"/>
        <v>-3.1000000000000014</v>
      </c>
      <c r="AU174" s="182">
        <f t="shared" si="54"/>
        <v>0</v>
      </c>
      <c r="AV174" s="167">
        <f t="shared" si="49"/>
        <v>-3.1000000000000014</v>
      </c>
      <c r="AW174" s="579"/>
      <c r="AX174" s="110"/>
      <c r="BO174" s="159">
        <f t="shared" si="52"/>
        <v>12.2</v>
      </c>
      <c r="BP174" s="160">
        <f t="shared" si="50"/>
        <v>0</v>
      </c>
      <c r="BQ174" s="131"/>
      <c r="BR174" s="132"/>
      <c r="BS174" s="133"/>
      <c r="BT174" s="134"/>
      <c r="BU174" s="135"/>
    </row>
    <row r="175" spans="1:73" s="80" customFormat="1" ht="42.75" customHeight="1">
      <c r="A175" s="80">
        <v>5</v>
      </c>
      <c r="B175" s="111" t="s">
        <v>181</v>
      </c>
      <c r="C175" s="215" t="s">
        <v>181</v>
      </c>
      <c r="D175" s="162" t="s">
        <v>222</v>
      </c>
      <c r="E175" s="232" t="s">
        <v>223</v>
      </c>
      <c r="F175" s="274" t="s">
        <v>224</v>
      </c>
      <c r="G175" s="162" t="s">
        <v>335</v>
      </c>
      <c r="H175" s="162">
        <v>17</v>
      </c>
      <c r="I175" s="162" t="s">
        <v>339</v>
      </c>
      <c r="J175" s="162">
        <v>260</v>
      </c>
      <c r="K175" s="625">
        <v>73.7</v>
      </c>
      <c r="L175" s="165"/>
      <c r="M175" s="162" t="s">
        <v>335</v>
      </c>
      <c r="N175" s="166">
        <v>17</v>
      </c>
      <c r="O175" s="166" t="s">
        <v>339</v>
      </c>
      <c r="P175" s="166">
        <v>260</v>
      </c>
      <c r="Q175" s="167">
        <v>73.7</v>
      </c>
      <c r="R175" s="168"/>
      <c r="S175" s="208">
        <f>Q175-K175</f>
        <v>0</v>
      </c>
      <c r="T175" s="169" t="s">
        <v>330</v>
      </c>
      <c r="U175" s="205">
        <v>40</v>
      </c>
      <c r="V175" s="209"/>
      <c r="W175" s="205"/>
      <c r="X175" s="206">
        <v>29.7</v>
      </c>
      <c r="Y175" s="226">
        <v>29.7</v>
      </c>
      <c r="Z175" s="210"/>
      <c r="AA175" s="168">
        <f t="shared" si="59"/>
        <v>-44</v>
      </c>
      <c r="AB175" s="168"/>
      <c r="AC175" s="168">
        <f t="shared" si="60"/>
        <v>-44</v>
      </c>
      <c r="AD175" s="211"/>
      <c r="AE175" s="518" t="s">
        <v>225</v>
      </c>
      <c r="AI175" s="174"/>
      <c r="AJ175" s="174"/>
      <c r="AM175" s="175">
        <f t="shared" si="58"/>
        <v>0</v>
      </c>
      <c r="AN175" s="176" t="s">
        <v>331</v>
      </c>
      <c r="AO175" s="177">
        <v>12.7</v>
      </c>
      <c r="AP175" s="189"/>
      <c r="AQ175" s="179">
        <v>100</v>
      </c>
      <c r="AR175" s="180">
        <v>21.2</v>
      </c>
      <c r="AS175" s="124"/>
      <c r="AT175" s="181">
        <f t="shared" si="53"/>
        <v>-8.5</v>
      </c>
      <c r="AU175" s="182">
        <f t="shared" si="54"/>
        <v>0</v>
      </c>
      <c r="AV175" s="167">
        <f t="shared" si="49"/>
        <v>-8.5</v>
      </c>
      <c r="AW175" s="579"/>
      <c r="AX175" s="110"/>
      <c r="BO175" s="159">
        <f t="shared" si="52"/>
        <v>21.2</v>
      </c>
      <c r="BP175" s="160">
        <f t="shared" si="50"/>
        <v>0</v>
      </c>
      <c r="BQ175" s="131"/>
      <c r="BR175" s="132"/>
      <c r="BS175" s="133"/>
      <c r="BT175" s="134"/>
      <c r="BU175" s="135"/>
    </row>
    <row r="176" spans="2:73" s="80" customFormat="1" ht="41.25" customHeight="1">
      <c r="B176" s="111"/>
      <c r="C176" s="215"/>
      <c r="D176" s="162" t="s">
        <v>226</v>
      </c>
      <c r="E176" s="232" t="s">
        <v>223</v>
      </c>
      <c r="F176" s="274" t="s">
        <v>224</v>
      </c>
      <c r="G176" s="162"/>
      <c r="H176" s="162"/>
      <c r="I176" s="162"/>
      <c r="J176" s="162"/>
      <c r="K176" s="625"/>
      <c r="L176" s="165"/>
      <c r="M176" s="162"/>
      <c r="N176" s="166"/>
      <c r="O176" s="166"/>
      <c r="P176" s="166"/>
      <c r="Q176" s="167"/>
      <c r="R176" s="168"/>
      <c r="S176" s="208"/>
      <c r="T176" s="169"/>
      <c r="U176" s="205"/>
      <c r="V176" s="209"/>
      <c r="W176" s="205"/>
      <c r="X176" s="206"/>
      <c r="Y176" s="226"/>
      <c r="Z176" s="210"/>
      <c r="AA176" s="168"/>
      <c r="AB176" s="168"/>
      <c r="AC176" s="168"/>
      <c r="AD176" s="211"/>
      <c r="AE176" s="518"/>
      <c r="AI176" s="174"/>
      <c r="AJ176" s="174"/>
      <c r="AM176" s="175"/>
      <c r="AN176" s="176" t="s">
        <v>331</v>
      </c>
      <c r="AO176" s="177">
        <v>5</v>
      </c>
      <c r="AP176" s="189"/>
      <c r="AQ176" s="179">
        <v>2</v>
      </c>
      <c r="AR176" s="180">
        <v>0.2</v>
      </c>
      <c r="AS176" s="124"/>
      <c r="AT176" s="181">
        <f t="shared" si="53"/>
        <v>0.2</v>
      </c>
      <c r="AU176" s="182">
        <f t="shared" si="54"/>
        <v>0</v>
      </c>
      <c r="AV176" s="167">
        <f t="shared" si="49"/>
        <v>0.2</v>
      </c>
      <c r="AW176" s="579"/>
      <c r="AX176" s="110"/>
      <c r="BO176" s="159">
        <f t="shared" si="52"/>
        <v>0.2</v>
      </c>
      <c r="BP176" s="160">
        <f t="shared" si="50"/>
        <v>0</v>
      </c>
      <c r="BQ176" s="131"/>
      <c r="BR176" s="132"/>
      <c r="BS176" s="133"/>
      <c r="BT176" s="134"/>
      <c r="BU176" s="135"/>
    </row>
    <row r="177" spans="1:73" s="80" customFormat="1" ht="63" customHeight="1">
      <c r="A177" s="80">
        <v>5</v>
      </c>
      <c r="B177" s="111" t="s">
        <v>181</v>
      </c>
      <c r="C177" s="215" t="s">
        <v>181</v>
      </c>
      <c r="D177" s="162" t="s">
        <v>227</v>
      </c>
      <c r="E177" s="232" t="s">
        <v>228</v>
      </c>
      <c r="F177" s="274" t="s">
        <v>229</v>
      </c>
      <c r="G177" s="162" t="s">
        <v>335</v>
      </c>
      <c r="H177" s="162">
        <v>15</v>
      </c>
      <c r="I177" s="162" t="s">
        <v>377</v>
      </c>
      <c r="J177" s="162">
        <v>52</v>
      </c>
      <c r="K177" s="165">
        <v>13</v>
      </c>
      <c r="L177" s="165"/>
      <c r="M177" s="162" t="s">
        <v>335</v>
      </c>
      <c r="N177" s="166">
        <v>15</v>
      </c>
      <c r="O177" s="166" t="s">
        <v>377</v>
      </c>
      <c r="P177" s="166">
        <v>52</v>
      </c>
      <c r="Q177" s="167">
        <v>13</v>
      </c>
      <c r="R177" s="168"/>
      <c r="S177" s="208">
        <f>Q177-K177</f>
        <v>0</v>
      </c>
      <c r="T177" s="169" t="s">
        <v>330</v>
      </c>
      <c r="U177" s="205">
        <v>19</v>
      </c>
      <c r="V177" s="209" t="s">
        <v>130</v>
      </c>
      <c r="W177" s="205">
        <v>32</v>
      </c>
      <c r="X177" s="206">
        <v>9.9</v>
      </c>
      <c r="Y177" s="226">
        <v>9.9</v>
      </c>
      <c r="Z177" s="210"/>
      <c r="AA177" s="168">
        <f t="shared" si="59"/>
        <v>-3.0999999999999996</v>
      </c>
      <c r="AB177" s="168"/>
      <c r="AC177" s="168">
        <f t="shared" si="60"/>
        <v>-3.0999999999999996</v>
      </c>
      <c r="AD177" s="211"/>
      <c r="AE177" s="128"/>
      <c r="AI177" s="174"/>
      <c r="AJ177" s="174"/>
      <c r="AM177" s="175">
        <f t="shared" si="58"/>
        <v>0</v>
      </c>
      <c r="AN177" s="176" t="s">
        <v>331</v>
      </c>
      <c r="AO177" s="177">
        <v>18.5</v>
      </c>
      <c r="AP177" s="189" t="s">
        <v>230</v>
      </c>
      <c r="AQ177" s="179">
        <v>32</v>
      </c>
      <c r="AR177" s="180">
        <v>9.9</v>
      </c>
      <c r="AS177" s="124"/>
      <c r="AT177" s="181">
        <f t="shared" si="53"/>
        <v>0</v>
      </c>
      <c r="AU177" s="182">
        <f t="shared" si="54"/>
        <v>0</v>
      </c>
      <c r="AV177" s="167">
        <f t="shared" si="49"/>
        <v>0</v>
      </c>
      <c r="AW177" s="579"/>
      <c r="AX177" s="110"/>
      <c r="BO177" s="159">
        <f t="shared" si="52"/>
        <v>9.9</v>
      </c>
      <c r="BP177" s="160">
        <f t="shared" si="50"/>
        <v>0</v>
      </c>
      <c r="BQ177" s="131"/>
      <c r="BR177" s="132"/>
      <c r="BS177" s="133"/>
      <c r="BT177" s="134"/>
      <c r="BU177" s="135"/>
    </row>
    <row r="178" spans="1:73" s="80" customFormat="1" ht="48" customHeight="1">
      <c r="A178" s="80">
        <v>10</v>
      </c>
      <c r="B178" s="111" t="s">
        <v>181</v>
      </c>
      <c r="C178" s="215" t="s">
        <v>181</v>
      </c>
      <c r="D178" s="162" t="s">
        <v>231</v>
      </c>
      <c r="E178" s="232" t="s">
        <v>232</v>
      </c>
      <c r="F178" s="274" t="s">
        <v>220</v>
      </c>
      <c r="G178" s="162" t="s">
        <v>335</v>
      </c>
      <c r="H178" s="162">
        <v>30</v>
      </c>
      <c r="I178" s="162"/>
      <c r="J178" s="162"/>
      <c r="K178" s="165">
        <v>76</v>
      </c>
      <c r="L178" s="165"/>
      <c r="M178" s="162" t="s">
        <v>335</v>
      </c>
      <c r="N178" s="166">
        <v>30</v>
      </c>
      <c r="O178" s="166"/>
      <c r="P178" s="166"/>
      <c r="Q178" s="167">
        <v>76</v>
      </c>
      <c r="R178" s="168"/>
      <c r="S178" s="222">
        <f>Q178-K178</f>
        <v>0</v>
      </c>
      <c r="T178" s="166" t="s">
        <v>330</v>
      </c>
      <c r="U178" s="205"/>
      <c r="V178" s="209"/>
      <c r="W178" s="205"/>
      <c r="X178" s="206">
        <v>51.5</v>
      </c>
      <c r="Y178" s="226">
        <v>51.5</v>
      </c>
      <c r="Z178" s="210"/>
      <c r="AA178" s="168">
        <f t="shared" si="59"/>
        <v>-24.5</v>
      </c>
      <c r="AB178" s="168"/>
      <c r="AC178" s="168">
        <f t="shared" si="60"/>
        <v>-24.5</v>
      </c>
      <c r="AD178" s="211"/>
      <c r="AE178" s="128"/>
      <c r="AI178" s="174"/>
      <c r="AJ178" s="174"/>
      <c r="AM178" s="175">
        <f t="shared" si="58"/>
        <v>0</v>
      </c>
      <c r="AN178" s="176" t="s">
        <v>331</v>
      </c>
      <c r="AO178" s="177"/>
      <c r="AP178" s="189"/>
      <c r="AQ178" s="179"/>
      <c r="AR178" s="180">
        <v>43.4</v>
      </c>
      <c r="AS178" s="124"/>
      <c r="AT178" s="181">
        <f t="shared" si="53"/>
        <v>-8.100000000000001</v>
      </c>
      <c r="AU178" s="182">
        <f t="shared" si="54"/>
        <v>0</v>
      </c>
      <c r="AV178" s="167">
        <f t="shared" si="49"/>
        <v>-8.100000000000001</v>
      </c>
      <c r="AW178" s="579"/>
      <c r="AX178" s="110"/>
      <c r="BO178" s="159">
        <v>43.4</v>
      </c>
      <c r="BP178" s="160">
        <f t="shared" si="50"/>
        <v>0</v>
      </c>
      <c r="BQ178" s="131"/>
      <c r="BR178" s="132"/>
      <c r="BS178" s="133"/>
      <c r="BT178" s="134"/>
      <c r="BU178" s="135"/>
    </row>
    <row r="179" spans="1:73" s="80" customFormat="1" ht="71.25" customHeight="1">
      <c r="A179" s="80">
        <v>10</v>
      </c>
      <c r="B179" s="111" t="s">
        <v>181</v>
      </c>
      <c r="C179" s="215" t="s">
        <v>181</v>
      </c>
      <c r="D179" s="162" t="s">
        <v>233</v>
      </c>
      <c r="E179" s="227" t="s">
        <v>139</v>
      </c>
      <c r="F179" s="274" t="s">
        <v>234</v>
      </c>
      <c r="G179" s="162" t="s">
        <v>335</v>
      </c>
      <c r="H179" s="162">
        <v>30</v>
      </c>
      <c r="I179" s="162"/>
      <c r="J179" s="162"/>
      <c r="K179" s="165">
        <v>76</v>
      </c>
      <c r="L179" s="165"/>
      <c r="M179" s="162" t="s">
        <v>335</v>
      </c>
      <c r="N179" s="166">
        <v>30</v>
      </c>
      <c r="O179" s="166"/>
      <c r="P179" s="166"/>
      <c r="Q179" s="167">
        <v>76</v>
      </c>
      <c r="R179" s="168"/>
      <c r="S179" s="115"/>
      <c r="T179" s="166" t="s">
        <v>330</v>
      </c>
      <c r="U179" s="169"/>
      <c r="V179" s="170"/>
      <c r="W179" s="169"/>
      <c r="X179" s="193">
        <f>19.2-2.8</f>
        <v>16.4</v>
      </c>
      <c r="Y179" s="188">
        <f>19.2-4.8+2</f>
        <v>16.4</v>
      </c>
      <c r="Z179" s="166"/>
      <c r="AA179" s="168">
        <f t="shared" si="59"/>
        <v>-59.6</v>
      </c>
      <c r="AB179" s="168"/>
      <c r="AC179" s="168">
        <f t="shared" si="60"/>
        <v>-59.6</v>
      </c>
      <c r="AD179" s="128"/>
      <c r="AE179" s="128"/>
      <c r="AI179" s="174"/>
      <c r="AJ179" s="174"/>
      <c r="AM179" s="175">
        <f t="shared" si="58"/>
        <v>0</v>
      </c>
      <c r="AN179" s="176" t="s">
        <v>331</v>
      </c>
      <c r="AO179" s="177"/>
      <c r="AP179" s="189"/>
      <c r="AQ179" s="177"/>
      <c r="AR179" s="180">
        <f>2.1+4.7+1.3+14.3</f>
        <v>22.400000000000002</v>
      </c>
      <c r="AS179" s="124"/>
      <c r="AT179" s="181">
        <f t="shared" si="53"/>
        <v>6.0000000000000036</v>
      </c>
      <c r="AU179" s="182">
        <f t="shared" si="54"/>
        <v>0</v>
      </c>
      <c r="AV179" s="167">
        <f t="shared" si="49"/>
        <v>6.0000000000000036</v>
      </c>
      <c r="AW179" s="579"/>
      <c r="AX179" s="110"/>
      <c r="BO179" s="159">
        <v>22.4</v>
      </c>
      <c r="BP179" s="160">
        <f t="shared" si="50"/>
        <v>0</v>
      </c>
      <c r="BQ179" s="131"/>
      <c r="BR179" s="132"/>
      <c r="BS179" s="133"/>
      <c r="BT179" s="134"/>
      <c r="BU179" s="135"/>
    </row>
    <row r="180" spans="1:73" s="80" customFormat="1" ht="132.75" customHeight="1">
      <c r="A180" s="80">
        <v>6</v>
      </c>
      <c r="B180" s="111" t="s">
        <v>181</v>
      </c>
      <c r="C180" s="215" t="s">
        <v>557</v>
      </c>
      <c r="D180" s="162" t="s">
        <v>182</v>
      </c>
      <c r="E180" s="271" t="s">
        <v>183</v>
      </c>
      <c r="F180" s="274" t="s">
        <v>184</v>
      </c>
      <c r="G180" s="162" t="s">
        <v>335</v>
      </c>
      <c r="H180" s="162">
        <v>360</v>
      </c>
      <c r="I180" s="162"/>
      <c r="J180" s="162"/>
      <c r="K180" s="165">
        <v>6</v>
      </c>
      <c r="L180" s="165"/>
      <c r="M180" s="162"/>
      <c r="N180" s="166"/>
      <c r="O180" s="166"/>
      <c r="P180" s="166"/>
      <c r="Q180" s="167"/>
      <c r="R180" s="168"/>
      <c r="S180" s="222">
        <f>Q180-K180</f>
        <v>-6</v>
      </c>
      <c r="T180" s="166" t="s">
        <v>330</v>
      </c>
      <c r="U180" s="205"/>
      <c r="V180" s="209"/>
      <c r="W180" s="205"/>
      <c r="X180" s="206">
        <f>6.6+2.3</f>
        <v>8.899999999999999</v>
      </c>
      <c r="Y180" s="226">
        <v>6.6</v>
      </c>
      <c r="Z180" s="207"/>
      <c r="AA180" s="168">
        <f t="shared" si="59"/>
        <v>8.899999999999999</v>
      </c>
      <c r="AB180" s="168"/>
      <c r="AC180" s="168">
        <f t="shared" si="60"/>
        <v>8.899999999999999</v>
      </c>
      <c r="AD180" s="529">
        <f>Q180</f>
        <v>0</v>
      </c>
      <c r="AE180" s="128" t="s">
        <v>235</v>
      </c>
      <c r="AI180" s="174"/>
      <c r="AJ180" s="174"/>
      <c r="AM180" s="175">
        <f t="shared" si="58"/>
        <v>2.299999999999999</v>
      </c>
      <c r="AN180" s="176" t="s">
        <v>331</v>
      </c>
      <c r="AO180" s="177"/>
      <c r="AP180" s="189"/>
      <c r="AQ180" s="179"/>
      <c r="AR180" s="180">
        <v>9.5</v>
      </c>
      <c r="AS180" s="124"/>
      <c r="AT180" s="181">
        <f aca="true" t="shared" si="61" ref="AT180:AT190">AR180-X180</f>
        <v>0.6000000000000014</v>
      </c>
      <c r="AU180" s="182">
        <f aca="true" t="shared" si="62" ref="AU180:AU190">AS180-Z180</f>
        <v>0</v>
      </c>
      <c r="AV180" s="167">
        <f t="shared" si="49"/>
        <v>0.6000000000000014</v>
      </c>
      <c r="AW180" s="579"/>
      <c r="AX180" s="110"/>
      <c r="BO180" s="159">
        <v>9.5</v>
      </c>
      <c r="BP180" s="160">
        <f t="shared" si="50"/>
        <v>0</v>
      </c>
      <c r="BQ180" s="131"/>
      <c r="BR180" s="132"/>
      <c r="BS180" s="133"/>
      <c r="BT180" s="134"/>
      <c r="BU180" s="135"/>
    </row>
    <row r="181" spans="1:73" s="80" customFormat="1" ht="42.75" customHeight="1">
      <c r="A181" s="80">
        <v>6</v>
      </c>
      <c r="B181" s="111" t="s">
        <v>181</v>
      </c>
      <c r="C181" s="215" t="s">
        <v>557</v>
      </c>
      <c r="D181" s="162" t="s">
        <v>236</v>
      </c>
      <c r="E181" s="232" t="s">
        <v>237</v>
      </c>
      <c r="F181" s="271" t="s">
        <v>161</v>
      </c>
      <c r="G181" s="162" t="s">
        <v>335</v>
      </c>
      <c r="H181" s="162">
        <v>135</v>
      </c>
      <c r="I181" s="162" t="s">
        <v>180</v>
      </c>
      <c r="J181" s="162">
        <v>1</v>
      </c>
      <c r="K181" s="165">
        <v>2.2</v>
      </c>
      <c r="L181" s="165"/>
      <c r="M181" s="162"/>
      <c r="N181" s="166"/>
      <c r="O181" s="166"/>
      <c r="P181" s="166"/>
      <c r="Q181" s="271"/>
      <c r="R181" s="168"/>
      <c r="S181" s="222">
        <f>Q181-K181</f>
        <v>-2.2</v>
      </c>
      <c r="T181" s="166" t="s">
        <v>330</v>
      </c>
      <c r="U181" s="169">
        <v>135</v>
      </c>
      <c r="V181" s="170" t="s">
        <v>180</v>
      </c>
      <c r="W181" s="166">
        <v>1</v>
      </c>
      <c r="X181" s="167"/>
      <c r="Y181" s="94">
        <v>2.3</v>
      </c>
      <c r="Z181" s="207"/>
      <c r="AA181" s="168">
        <f t="shared" si="59"/>
        <v>0</v>
      </c>
      <c r="AB181" s="168"/>
      <c r="AC181" s="168">
        <f t="shared" si="60"/>
        <v>0</v>
      </c>
      <c r="AD181" s="529">
        <f>Q181</f>
        <v>0</v>
      </c>
      <c r="AE181" s="128"/>
      <c r="AI181" s="174"/>
      <c r="AJ181" s="174"/>
      <c r="AM181" s="175">
        <f t="shared" si="58"/>
        <v>-2.3</v>
      </c>
      <c r="AN181" s="176" t="s">
        <v>331</v>
      </c>
      <c r="AO181" s="177"/>
      <c r="AP181" s="189"/>
      <c r="AQ181" s="179"/>
      <c r="AR181" s="180">
        <v>2.1</v>
      </c>
      <c r="AS181" s="124"/>
      <c r="AT181" s="181">
        <f t="shared" si="61"/>
        <v>2.1</v>
      </c>
      <c r="AU181" s="182">
        <f t="shared" si="62"/>
        <v>0</v>
      </c>
      <c r="AV181" s="167">
        <f t="shared" si="49"/>
        <v>2.1</v>
      </c>
      <c r="AW181" s="579"/>
      <c r="AX181" s="110"/>
      <c r="BO181" s="159">
        <v>2.1</v>
      </c>
      <c r="BP181" s="160">
        <f t="shared" si="50"/>
        <v>0</v>
      </c>
      <c r="BQ181" s="131"/>
      <c r="BR181" s="132"/>
      <c r="BS181" s="133"/>
      <c r="BT181" s="134"/>
      <c r="BU181" s="135"/>
    </row>
    <row r="182" spans="1:73" s="80" customFormat="1" ht="39" customHeight="1">
      <c r="A182" s="80">
        <v>6</v>
      </c>
      <c r="B182" s="111" t="s">
        <v>181</v>
      </c>
      <c r="C182" s="215" t="s">
        <v>557</v>
      </c>
      <c r="D182" s="162" t="s">
        <v>238</v>
      </c>
      <c r="E182" s="232" t="s">
        <v>239</v>
      </c>
      <c r="F182" s="525" t="s">
        <v>220</v>
      </c>
      <c r="G182" s="162"/>
      <c r="H182" s="162"/>
      <c r="I182" s="162"/>
      <c r="J182" s="162"/>
      <c r="K182" s="165"/>
      <c r="L182" s="165"/>
      <c r="M182" s="162"/>
      <c r="N182" s="166"/>
      <c r="O182" s="166"/>
      <c r="P182" s="166"/>
      <c r="Q182" s="167"/>
      <c r="R182" s="168"/>
      <c r="S182" s="208"/>
      <c r="T182" s="166" t="s">
        <v>330</v>
      </c>
      <c r="U182" s="205">
        <v>18</v>
      </c>
      <c r="V182" s="209"/>
      <c r="W182" s="205">
        <v>4</v>
      </c>
      <c r="X182" s="206">
        <v>1.2</v>
      </c>
      <c r="Y182" s="226">
        <v>1.2</v>
      </c>
      <c r="Z182" s="210"/>
      <c r="AA182" s="168">
        <f t="shared" si="59"/>
        <v>1.2</v>
      </c>
      <c r="AB182" s="168"/>
      <c r="AC182" s="168">
        <f t="shared" si="60"/>
        <v>1.2</v>
      </c>
      <c r="AD182" s="211"/>
      <c r="AE182" s="128"/>
      <c r="AI182" s="174"/>
      <c r="AJ182" s="174"/>
      <c r="AM182" s="175">
        <f t="shared" si="58"/>
        <v>0</v>
      </c>
      <c r="AN182" s="176" t="s">
        <v>331</v>
      </c>
      <c r="AO182" s="177">
        <v>18</v>
      </c>
      <c r="AP182" s="189"/>
      <c r="AQ182" s="179">
        <v>4</v>
      </c>
      <c r="AR182" s="180">
        <v>1.2</v>
      </c>
      <c r="AS182" s="124"/>
      <c r="AT182" s="181">
        <f t="shared" si="61"/>
        <v>0</v>
      </c>
      <c r="AU182" s="182">
        <f t="shared" si="62"/>
        <v>0</v>
      </c>
      <c r="AV182" s="167">
        <f t="shared" si="49"/>
        <v>0</v>
      </c>
      <c r="AW182" s="579"/>
      <c r="AX182" s="110"/>
      <c r="BO182" s="159">
        <f t="shared" si="52"/>
        <v>1.2</v>
      </c>
      <c r="BP182" s="160">
        <f t="shared" si="50"/>
        <v>0</v>
      </c>
      <c r="BQ182" s="131"/>
      <c r="BR182" s="132"/>
      <c r="BS182" s="133"/>
      <c r="BT182" s="134"/>
      <c r="BU182" s="135"/>
    </row>
    <row r="183" spans="2:73" s="80" customFormat="1" ht="39" customHeight="1">
      <c r="B183" s="111"/>
      <c r="C183" s="215"/>
      <c r="D183" s="162" t="s">
        <v>240</v>
      </c>
      <c r="E183" s="232"/>
      <c r="F183" s="274" t="s">
        <v>188</v>
      </c>
      <c r="G183" s="162"/>
      <c r="H183" s="162"/>
      <c r="I183" s="162"/>
      <c r="J183" s="162"/>
      <c r="K183" s="165"/>
      <c r="L183" s="165"/>
      <c r="M183" s="162"/>
      <c r="N183" s="166"/>
      <c r="O183" s="166"/>
      <c r="P183" s="166"/>
      <c r="Q183" s="167"/>
      <c r="R183" s="168"/>
      <c r="S183" s="208"/>
      <c r="T183" s="166"/>
      <c r="U183" s="205"/>
      <c r="V183" s="209"/>
      <c r="W183" s="205"/>
      <c r="X183" s="206"/>
      <c r="Y183" s="226"/>
      <c r="Z183" s="210"/>
      <c r="AA183" s="168"/>
      <c r="AB183" s="168"/>
      <c r="AC183" s="168"/>
      <c r="AD183" s="211"/>
      <c r="AE183" s="128"/>
      <c r="AI183" s="174"/>
      <c r="AJ183" s="174"/>
      <c r="AM183" s="175"/>
      <c r="AN183" s="176" t="s">
        <v>331</v>
      </c>
      <c r="AO183" s="177"/>
      <c r="AP183" s="189"/>
      <c r="AQ183" s="179"/>
      <c r="AR183" s="180">
        <f>5.4+1.1</f>
        <v>6.5</v>
      </c>
      <c r="AS183" s="124"/>
      <c r="AT183" s="181">
        <f t="shared" si="61"/>
        <v>6.5</v>
      </c>
      <c r="AU183" s="182">
        <f t="shared" si="62"/>
        <v>0</v>
      </c>
      <c r="AV183" s="167">
        <f t="shared" si="49"/>
        <v>6.5</v>
      </c>
      <c r="AW183" s="579"/>
      <c r="AX183" s="110"/>
      <c r="BO183" s="159">
        <v>6.5</v>
      </c>
      <c r="BP183" s="160">
        <f t="shared" si="50"/>
        <v>0</v>
      </c>
      <c r="BQ183" s="131"/>
      <c r="BR183" s="132"/>
      <c r="BS183" s="133"/>
      <c r="BT183" s="134"/>
      <c r="BU183" s="135"/>
    </row>
    <row r="184" spans="1:73" ht="82.5" customHeight="1">
      <c r="A184" s="337"/>
      <c r="B184" s="337" t="s">
        <v>181</v>
      </c>
      <c r="C184" s="338" t="s">
        <v>557</v>
      </c>
      <c r="D184" s="162" t="s">
        <v>186</v>
      </c>
      <c r="E184" s="227" t="s">
        <v>187</v>
      </c>
      <c r="F184" s="274" t="s">
        <v>184</v>
      </c>
      <c r="G184" s="339"/>
      <c r="H184" s="340"/>
      <c r="I184" s="339"/>
      <c r="J184" s="340"/>
      <c r="K184" s="340"/>
      <c r="L184" s="342"/>
      <c r="M184" s="339"/>
      <c r="N184" s="269"/>
      <c r="O184" s="343"/>
      <c r="P184" s="269"/>
      <c r="Q184" s="334"/>
      <c r="R184" s="334"/>
      <c r="S184" s="56"/>
      <c r="T184" s="626" t="s">
        <v>330</v>
      </c>
      <c r="U184" s="345">
        <v>29</v>
      </c>
      <c r="V184" s="170" t="s">
        <v>397</v>
      </c>
      <c r="W184" s="345">
        <v>77</v>
      </c>
      <c r="X184" s="207"/>
      <c r="Y184" s="347"/>
      <c r="Z184" s="346">
        <v>37.5</v>
      </c>
      <c r="AA184" s="168"/>
      <c r="AB184" s="168">
        <f aca="true" t="shared" si="63" ref="AB184:AB189">Z184-R184</f>
        <v>37.5</v>
      </c>
      <c r="AC184" s="168">
        <f t="shared" si="60"/>
        <v>37.5</v>
      </c>
      <c r="AD184" s="529">
        <f>Q184</f>
        <v>0</v>
      </c>
      <c r="AG184" s="16">
        <v>161.1</v>
      </c>
      <c r="AH184" s="16">
        <f>AG184+AG184/9*3</f>
        <v>214.79999999999998</v>
      </c>
      <c r="AM184" s="175">
        <f t="shared" si="58"/>
        <v>0</v>
      </c>
      <c r="AN184" s="176" t="s">
        <v>331</v>
      </c>
      <c r="AO184" s="177">
        <v>29</v>
      </c>
      <c r="AP184" s="189" t="s">
        <v>241</v>
      </c>
      <c r="AQ184" s="179">
        <v>84</v>
      </c>
      <c r="AR184" s="180"/>
      <c r="AS184" s="124">
        <v>40.6</v>
      </c>
      <c r="AT184" s="181">
        <f t="shared" si="61"/>
        <v>0</v>
      </c>
      <c r="AU184" s="182">
        <f t="shared" si="62"/>
        <v>3.1000000000000014</v>
      </c>
      <c r="AV184" s="167">
        <f t="shared" si="49"/>
        <v>3.1000000000000014</v>
      </c>
      <c r="AW184" s="604"/>
      <c r="AX184" s="49"/>
      <c r="BO184" s="159"/>
      <c r="BP184" s="160"/>
      <c r="BQ184" s="330">
        <f>ROUND(AO184*AQ184/60,1)</f>
        <v>40.6</v>
      </c>
      <c r="BR184" s="198"/>
      <c r="BS184" s="608">
        <f>AS184-BQ184</f>
        <v>0</v>
      </c>
      <c r="BU184" s="609">
        <f>AS184</f>
        <v>40.6</v>
      </c>
    </row>
    <row r="185" spans="2:73" s="627" customFormat="1" ht="49.5" customHeight="1">
      <c r="B185" s="628" t="s">
        <v>181</v>
      </c>
      <c r="C185" s="629" t="s">
        <v>181</v>
      </c>
      <c r="D185" s="630" t="s">
        <v>242</v>
      </c>
      <c r="E185" s="227" t="s">
        <v>243</v>
      </c>
      <c r="F185" s="274" t="s">
        <v>188</v>
      </c>
      <c r="G185" s="630" t="s">
        <v>335</v>
      </c>
      <c r="H185" s="630"/>
      <c r="I185" s="630"/>
      <c r="J185" s="630"/>
      <c r="K185" s="631"/>
      <c r="L185" s="632">
        <v>85</v>
      </c>
      <c r="M185" s="630" t="s">
        <v>335</v>
      </c>
      <c r="N185" s="633"/>
      <c r="O185" s="633"/>
      <c r="P185" s="633"/>
      <c r="Q185" s="384"/>
      <c r="R185" s="634">
        <v>85</v>
      </c>
      <c r="S185" s="635"/>
      <c r="T185" s="636"/>
      <c r="U185" s="626"/>
      <c r="V185" s="232"/>
      <c r="W185" s="626"/>
      <c r="X185" s="383"/>
      <c r="Y185" s="388"/>
      <c r="Z185" s="633">
        <v>87.7</v>
      </c>
      <c r="AA185" s="168"/>
      <c r="AB185" s="168">
        <f t="shared" si="63"/>
        <v>2.700000000000003</v>
      </c>
      <c r="AC185" s="168">
        <f t="shared" si="60"/>
        <v>2.700000000000003</v>
      </c>
      <c r="AD185" s="637"/>
      <c r="AE185" s="638" t="s">
        <v>244</v>
      </c>
      <c r="AG185" s="627">
        <v>98.1</v>
      </c>
      <c r="AH185" s="639">
        <f>AG185+AG185/9*3</f>
        <v>130.79999999999998</v>
      </c>
      <c r="AI185" s="640"/>
      <c r="AJ185" s="640"/>
      <c r="AM185" s="175">
        <f t="shared" si="58"/>
        <v>0</v>
      </c>
      <c r="AN185" s="176" t="s">
        <v>331</v>
      </c>
      <c r="AO185" s="177"/>
      <c r="AP185" s="189"/>
      <c r="AQ185" s="179"/>
      <c r="AR185" s="180"/>
      <c r="AS185" s="124">
        <v>68.8</v>
      </c>
      <c r="AT185" s="181">
        <f t="shared" si="61"/>
        <v>0</v>
      </c>
      <c r="AU185" s="182">
        <f t="shared" si="62"/>
        <v>-18.900000000000006</v>
      </c>
      <c r="AV185" s="167">
        <f t="shared" si="49"/>
        <v>-18.900000000000006</v>
      </c>
      <c r="AW185" s="641"/>
      <c r="AX185" s="642"/>
      <c r="BO185" s="159"/>
      <c r="BP185" s="160"/>
      <c r="BQ185" s="330">
        <v>68.8</v>
      </c>
      <c r="BR185" s="198" t="s">
        <v>245</v>
      </c>
      <c r="BS185" s="608">
        <f>AS185</f>
        <v>68.8</v>
      </c>
      <c r="BT185" s="643"/>
      <c r="BU185" s="609"/>
    </row>
    <row r="186" spans="2:71" s="644" customFormat="1" ht="50.25" customHeight="1">
      <c r="B186" s="645"/>
      <c r="C186" s="646"/>
      <c r="D186" s="633" t="s">
        <v>447</v>
      </c>
      <c r="E186" s="232" t="s">
        <v>246</v>
      </c>
      <c r="F186" s="274" t="s">
        <v>220</v>
      </c>
      <c r="G186" s="633"/>
      <c r="H186" s="633"/>
      <c r="I186" s="633"/>
      <c r="J186" s="633"/>
      <c r="K186" s="634"/>
      <c r="L186" s="647"/>
      <c r="M186" s="633"/>
      <c r="N186" s="633"/>
      <c r="O186" s="633"/>
      <c r="P186" s="633"/>
      <c r="Q186" s="384"/>
      <c r="R186" s="634"/>
      <c r="S186" s="648"/>
      <c r="T186" s="633" t="s">
        <v>330</v>
      </c>
      <c r="U186" s="626"/>
      <c r="V186" s="232"/>
      <c r="W186" s="626"/>
      <c r="X186" s="383"/>
      <c r="Y186" s="383"/>
      <c r="Z186" s="633">
        <v>28</v>
      </c>
      <c r="AA186" s="168"/>
      <c r="AB186" s="168">
        <f t="shared" si="63"/>
        <v>28</v>
      </c>
      <c r="AC186" s="168">
        <f t="shared" si="60"/>
        <v>28</v>
      </c>
      <c r="AD186" s="649"/>
      <c r="AE186" s="650"/>
      <c r="AH186" s="651"/>
      <c r="AM186" s="150"/>
      <c r="AN186" s="195" t="s">
        <v>331</v>
      </c>
      <c r="AO186" s="180"/>
      <c r="AP186" s="196"/>
      <c r="AQ186" s="197"/>
      <c r="AR186" s="180"/>
      <c r="AS186" s="124">
        <f>118.2-AS185</f>
        <v>49.400000000000006</v>
      </c>
      <c r="AT186" s="181">
        <f t="shared" si="61"/>
        <v>0</v>
      </c>
      <c r="AU186" s="182">
        <f t="shared" si="62"/>
        <v>21.400000000000006</v>
      </c>
      <c r="AV186" s="167">
        <f t="shared" si="49"/>
        <v>21.400000000000006</v>
      </c>
      <c r="AW186" s="652"/>
      <c r="AX186" s="648"/>
      <c r="BO186" s="198"/>
      <c r="BP186" s="160"/>
      <c r="BQ186" s="198">
        <f>ROUND(AO186*AQ186/60,1)</f>
        <v>0</v>
      </c>
      <c r="BR186" s="198" t="s">
        <v>247</v>
      </c>
      <c r="BS186" s="653">
        <f>AS186</f>
        <v>49.400000000000006</v>
      </c>
    </row>
    <row r="187" spans="1:73" ht="90" customHeight="1">
      <c r="A187" s="337"/>
      <c r="B187" s="337" t="s">
        <v>181</v>
      </c>
      <c r="C187" s="338" t="s">
        <v>181</v>
      </c>
      <c r="D187" s="630" t="s">
        <v>248</v>
      </c>
      <c r="E187" s="227" t="s">
        <v>249</v>
      </c>
      <c r="F187" s="525" t="s">
        <v>250</v>
      </c>
      <c r="G187" s="339"/>
      <c r="H187" s="340"/>
      <c r="I187" s="339"/>
      <c r="J187" s="353"/>
      <c r="K187" s="353"/>
      <c r="L187" s="342"/>
      <c r="M187" s="630" t="s">
        <v>335</v>
      </c>
      <c r="N187" s="269">
        <v>20</v>
      </c>
      <c r="O187" s="343" t="s">
        <v>397</v>
      </c>
      <c r="P187" s="269">
        <v>10</v>
      </c>
      <c r="Q187" s="187"/>
      <c r="R187" s="334">
        <f>ROUND(N187*P187/60,1)</f>
        <v>3.3</v>
      </c>
      <c r="S187" s="56"/>
      <c r="T187" s="630" t="s">
        <v>330</v>
      </c>
      <c r="U187" s="345">
        <v>20</v>
      </c>
      <c r="V187" s="170" t="s">
        <v>397</v>
      </c>
      <c r="W187" s="345">
        <v>4</v>
      </c>
      <c r="X187" s="346"/>
      <c r="Y187" s="347"/>
      <c r="Z187" s="346">
        <v>1.3</v>
      </c>
      <c r="AA187" s="168"/>
      <c r="AB187" s="168">
        <f t="shared" si="63"/>
        <v>-1.9999999999999998</v>
      </c>
      <c r="AC187" s="168">
        <f t="shared" si="60"/>
        <v>-1.9999999999999998</v>
      </c>
      <c r="AG187" s="16">
        <v>330.4</v>
      </c>
      <c r="AH187" s="654">
        <f>AG187+AG187/9*3</f>
        <v>440.5333333333333</v>
      </c>
      <c r="AM187" s="175">
        <f aca="true" t="shared" si="64" ref="AM187:AM198">X187-Y187</f>
        <v>0</v>
      </c>
      <c r="AN187" s="176" t="s">
        <v>331</v>
      </c>
      <c r="AO187" s="177">
        <v>20</v>
      </c>
      <c r="AP187" s="189"/>
      <c r="AQ187" s="179">
        <v>4</v>
      </c>
      <c r="AR187" s="180"/>
      <c r="AS187" s="124">
        <v>1.3</v>
      </c>
      <c r="AT187" s="181">
        <f t="shared" si="61"/>
        <v>0</v>
      </c>
      <c r="AU187" s="182">
        <f t="shared" si="62"/>
        <v>0</v>
      </c>
      <c r="AV187" s="167">
        <f t="shared" si="49"/>
        <v>0</v>
      </c>
      <c r="AW187" s="604"/>
      <c r="AX187" s="49"/>
      <c r="BO187" s="159"/>
      <c r="BP187" s="160"/>
      <c r="BQ187" s="330">
        <f>ROUND(AO187*AQ187/60,1)</f>
        <v>1.3</v>
      </c>
      <c r="BR187" s="198"/>
      <c r="BS187" s="608">
        <f>AS187-BQ187</f>
        <v>0</v>
      </c>
      <c r="BU187" s="609">
        <f>AS187</f>
        <v>1.3</v>
      </c>
    </row>
    <row r="188" spans="1:100" ht="42.75" customHeight="1">
      <c r="A188" s="337"/>
      <c r="B188" s="337" t="s">
        <v>181</v>
      </c>
      <c r="C188" s="338" t="s">
        <v>181</v>
      </c>
      <c r="D188" s="630" t="s">
        <v>251</v>
      </c>
      <c r="E188" s="232" t="s">
        <v>252</v>
      </c>
      <c r="F188" s="525" t="s">
        <v>253</v>
      </c>
      <c r="G188" s="339"/>
      <c r="H188" s="655"/>
      <c r="I188" s="339"/>
      <c r="J188" s="353"/>
      <c r="K188" s="353"/>
      <c r="L188" s="342"/>
      <c r="M188" s="630" t="s">
        <v>335</v>
      </c>
      <c r="N188" s="656" t="s">
        <v>254</v>
      </c>
      <c r="O188" s="343" t="s">
        <v>502</v>
      </c>
      <c r="P188" s="269"/>
      <c r="Q188" s="187"/>
      <c r="R188" s="334">
        <v>9.4</v>
      </c>
      <c r="S188" s="56"/>
      <c r="T188" s="630" t="s">
        <v>330</v>
      </c>
      <c r="U188" s="345">
        <v>31</v>
      </c>
      <c r="V188" s="170" t="s">
        <v>502</v>
      </c>
      <c r="W188" s="345">
        <v>8</v>
      </c>
      <c r="X188" s="346"/>
      <c r="Y188" s="347"/>
      <c r="Z188" s="346">
        <v>4.1</v>
      </c>
      <c r="AA188" s="168"/>
      <c r="AB188" s="168">
        <f t="shared" si="63"/>
        <v>-5.300000000000001</v>
      </c>
      <c r="AC188" s="168">
        <f t="shared" si="60"/>
        <v>-5.300000000000001</v>
      </c>
      <c r="AD188" s="16"/>
      <c r="AE188" s="557">
        <f>SUM(R187:R188)</f>
        <v>12.7</v>
      </c>
      <c r="AG188" s="16">
        <v>65.3</v>
      </c>
      <c r="AH188" s="654">
        <f>AG188+AG188/9*3</f>
        <v>87.06666666666666</v>
      </c>
      <c r="AM188" s="175">
        <f t="shared" si="64"/>
        <v>0</v>
      </c>
      <c r="AN188" s="176" t="s">
        <v>331</v>
      </c>
      <c r="AO188" s="177">
        <v>30</v>
      </c>
      <c r="AP188" s="178"/>
      <c r="AQ188" s="179">
        <v>9</v>
      </c>
      <c r="AR188" s="180"/>
      <c r="AS188" s="124">
        <v>4.5</v>
      </c>
      <c r="AT188" s="181">
        <f t="shared" si="61"/>
        <v>0</v>
      </c>
      <c r="AU188" s="182">
        <f t="shared" si="62"/>
        <v>0.40000000000000036</v>
      </c>
      <c r="AV188" s="167">
        <f t="shared" si="49"/>
        <v>0.40000000000000036</v>
      </c>
      <c r="AW188" s="604"/>
      <c r="AX188" s="49"/>
      <c r="BO188" s="159"/>
      <c r="BP188" s="160"/>
      <c r="BQ188" s="330">
        <f>ROUND(AO188*AQ188/60,1)</f>
        <v>4.5</v>
      </c>
      <c r="BR188" s="198"/>
      <c r="BS188" s="608">
        <f>AS188-BQ188</f>
        <v>0</v>
      </c>
      <c r="BU188" s="609">
        <f>AS188</f>
        <v>4.5</v>
      </c>
      <c r="CV188" s="20"/>
    </row>
    <row r="189" spans="2:73" s="389" customFormat="1" ht="36" customHeight="1">
      <c r="B189" s="378"/>
      <c r="C189" s="379"/>
      <c r="D189" s="381" t="s">
        <v>549</v>
      </c>
      <c r="E189" s="380"/>
      <c r="F189" s="227"/>
      <c r="G189" s="381"/>
      <c r="H189" s="381"/>
      <c r="I189" s="381"/>
      <c r="J189" s="381"/>
      <c r="K189" s="382"/>
      <c r="L189" s="165">
        <v>15</v>
      </c>
      <c r="M189" s="381"/>
      <c r="N189" s="383"/>
      <c r="O189" s="383"/>
      <c r="P189" s="383"/>
      <c r="Q189" s="384"/>
      <c r="R189" s="167">
        <f>15-AE188</f>
        <v>2.3000000000000007</v>
      </c>
      <c r="S189" s="385"/>
      <c r="T189" s="387"/>
      <c r="U189" s="386"/>
      <c r="V189" s="387"/>
      <c r="W189" s="386"/>
      <c r="X189" s="383"/>
      <c r="Y189" s="388"/>
      <c r="Z189" s="383">
        <f>85.9-13.4</f>
        <v>72.5</v>
      </c>
      <c r="AA189" s="168"/>
      <c r="AB189" s="168">
        <f t="shared" si="63"/>
        <v>70.2</v>
      </c>
      <c r="AC189" s="168">
        <f t="shared" si="60"/>
        <v>70.2</v>
      </c>
      <c r="AD189" s="390"/>
      <c r="AE189" s="390"/>
      <c r="AG189" s="389">
        <f>SUM(AG184:AG188)</f>
        <v>654.8999999999999</v>
      </c>
      <c r="AH189" s="389">
        <f>SUM(AH184:AH188)</f>
        <v>873.1999999999998</v>
      </c>
      <c r="AI189" s="391"/>
      <c r="AJ189" s="391"/>
      <c r="AM189" s="175">
        <f t="shared" si="64"/>
        <v>0</v>
      </c>
      <c r="AN189" s="122"/>
      <c r="AO189" s="419"/>
      <c r="AP189" s="189"/>
      <c r="AQ189" s="657"/>
      <c r="AR189" s="124"/>
      <c r="AS189" s="124">
        <v>69.3</v>
      </c>
      <c r="AT189" s="181">
        <f t="shared" si="61"/>
        <v>0</v>
      </c>
      <c r="AU189" s="182">
        <f t="shared" si="62"/>
        <v>-3.200000000000003</v>
      </c>
      <c r="AV189" s="167">
        <f t="shared" si="49"/>
        <v>-3.200000000000003</v>
      </c>
      <c r="AW189" s="564" t="s">
        <v>120</v>
      </c>
      <c r="AX189" s="377"/>
      <c r="AZ189" s="389">
        <f>Z189</f>
        <v>72.5</v>
      </c>
      <c r="BD189" s="393">
        <f>R189</f>
        <v>2.3000000000000007</v>
      </c>
      <c r="BO189" s="159">
        <f t="shared" si="52"/>
        <v>0</v>
      </c>
      <c r="BP189" s="160">
        <f t="shared" si="50"/>
        <v>0</v>
      </c>
      <c r="BQ189" s="330">
        <v>69.3</v>
      </c>
      <c r="BR189" s="198"/>
      <c r="BS189" s="608">
        <f>AS189-BQ189</f>
        <v>0</v>
      </c>
      <c r="BT189" s="394">
        <f>AS189</f>
        <v>69.3</v>
      </c>
      <c r="BU189" s="395"/>
    </row>
    <row r="190" spans="2:73" s="80" customFormat="1" ht="30" customHeight="1">
      <c r="B190" s="111"/>
      <c r="C190" s="215"/>
      <c r="D190" s="501" t="s">
        <v>121</v>
      </c>
      <c r="E190" s="380"/>
      <c r="F190" s="380"/>
      <c r="G190" s="162"/>
      <c r="H190" s="162"/>
      <c r="I190" s="162"/>
      <c r="J190" s="501">
        <f>SUM(J173:J189)</f>
        <v>573</v>
      </c>
      <c r="K190" s="502">
        <f>SUM(K173:K189)</f>
        <v>333.5</v>
      </c>
      <c r="L190" s="502">
        <f>SUM(L185:L189)</f>
        <v>100</v>
      </c>
      <c r="M190" s="162"/>
      <c r="N190" s="166"/>
      <c r="O190" s="166"/>
      <c r="P190" s="193"/>
      <c r="Q190" s="167">
        <f>SUM(Q173:Q189)</f>
        <v>325.3</v>
      </c>
      <c r="R190" s="167">
        <f>SUM(R185:R189)</f>
        <v>100</v>
      </c>
      <c r="S190" s="658">
        <f>SUM(S173:S189)</f>
        <v>-8.2</v>
      </c>
      <c r="T190" s="93"/>
      <c r="U190" s="505"/>
      <c r="V190" s="93"/>
      <c r="W190" s="505"/>
      <c r="X190" s="167">
        <f aca="true" t="shared" si="65" ref="X190:AC190">SUM(X173:X189)</f>
        <v>194.2</v>
      </c>
      <c r="Y190" s="167">
        <f t="shared" si="65"/>
        <v>194.2</v>
      </c>
      <c r="Z190" s="167">
        <f t="shared" si="65"/>
        <v>231.1</v>
      </c>
      <c r="AA190" s="167">
        <f t="shared" si="65"/>
        <v>-131.1</v>
      </c>
      <c r="AB190" s="167">
        <f t="shared" si="65"/>
        <v>131.10000000000002</v>
      </c>
      <c r="AC190" s="167">
        <f t="shared" si="65"/>
        <v>0</v>
      </c>
      <c r="AD190" s="659"/>
      <c r="AE190" s="128"/>
      <c r="AI190" s="174"/>
      <c r="AJ190" s="174"/>
      <c r="AM190" s="175">
        <f t="shared" si="64"/>
        <v>0</v>
      </c>
      <c r="AN190" s="122"/>
      <c r="AO190" s="419"/>
      <c r="AP190" s="189"/>
      <c r="AQ190" s="657"/>
      <c r="AR190" s="124">
        <f>SUM(AR173:AR189)</f>
        <v>187.8</v>
      </c>
      <c r="AS190" s="124">
        <f>SUM(AS173:AS189)</f>
        <v>233.90000000000003</v>
      </c>
      <c r="AT190" s="181">
        <f t="shared" si="61"/>
        <v>-6.399999999999977</v>
      </c>
      <c r="AU190" s="182">
        <f t="shared" si="62"/>
        <v>2.80000000000004</v>
      </c>
      <c r="AV190" s="167">
        <f t="shared" si="49"/>
        <v>-3.5999999999999375</v>
      </c>
      <c r="AW190" s="567"/>
      <c r="AX190" s="419">
        <f>X190</f>
        <v>194.2</v>
      </c>
      <c r="AY190" s="409"/>
      <c r="AZ190" s="420">
        <f>Z190</f>
        <v>231.1</v>
      </c>
      <c r="BA190" s="420">
        <f>AX190+AZ190</f>
        <v>425.29999999999995</v>
      </c>
      <c r="BB190" s="421">
        <f>Q190</f>
        <v>325.3</v>
      </c>
      <c r="BC190" s="421">
        <f>R190</f>
        <v>100</v>
      </c>
      <c r="BD190" s="422">
        <f>Q190+R190</f>
        <v>425.3</v>
      </c>
      <c r="BE190" s="422">
        <f>BA190-BD190</f>
        <v>0</v>
      </c>
      <c r="BO190" s="660">
        <f>SUM(BO173:BO189)</f>
        <v>187.8</v>
      </c>
      <c r="BP190" s="160"/>
      <c r="BQ190" s="330">
        <f>SUM(BQ184:BQ189)</f>
        <v>184.5</v>
      </c>
      <c r="BR190" s="198"/>
      <c r="BS190" s="423">
        <f>SUM(BS173:BS189)</f>
        <v>118.2</v>
      </c>
      <c r="BT190" s="423">
        <f>SUM(BT173:BT189)</f>
        <v>69.3</v>
      </c>
      <c r="BU190" s="423">
        <f>SUM(BU173:BU189)</f>
        <v>46.4</v>
      </c>
    </row>
    <row r="191" spans="2:73" s="80" customFormat="1" ht="28.5" customHeight="1">
      <c r="B191" s="111"/>
      <c r="C191" s="507"/>
      <c r="D191" s="661" t="s">
        <v>255</v>
      </c>
      <c r="E191" s="662"/>
      <c r="F191" s="662"/>
      <c r="G191" s="662"/>
      <c r="H191" s="662"/>
      <c r="I191" s="662"/>
      <c r="J191" s="662"/>
      <c r="K191" s="662"/>
      <c r="L191" s="663"/>
      <c r="M191" s="664"/>
      <c r="N191" s="664"/>
      <c r="O191" s="664"/>
      <c r="P191" s="664"/>
      <c r="Q191" s="664"/>
      <c r="R191" s="664"/>
      <c r="S191" s="115"/>
      <c r="T191" s="170"/>
      <c r="U191" s="169"/>
      <c r="V191" s="170"/>
      <c r="W191" s="169"/>
      <c r="X191" s="193"/>
      <c r="Y191" s="188"/>
      <c r="Z191" s="166"/>
      <c r="AA191" s="168"/>
      <c r="AB191" s="168"/>
      <c r="AC191" s="168"/>
      <c r="AD191" s="128"/>
      <c r="AE191" s="128"/>
      <c r="AI191" s="174"/>
      <c r="AJ191" s="174"/>
      <c r="AM191" s="175">
        <f t="shared" si="64"/>
        <v>0</v>
      </c>
      <c r="AN191" s="122"/>
      <c r="AO191" s="419"/>
      <c r="AP191" s="189"/>
      <c r="AQ191" s="657"/>
      <c r="AR191" s="124"/>
      <c r="AS191" s="124"/>
      <c r="AT191" s="181">
        <f>AR191-X191</f>
        <v>0</v>
      </c>
      <c r="AU191" s="182">
        <f>AS191-Z191</f>
        <v>0</v>
      </c>
      <c r="AV191" s="167">
        <f t="shared" si="49"/>
        <v>0</v>
      </c>
      <c r="AW191" s="579"/>
      <c r="AX191" s="110"/>
      <c r="BO191" s="159">
        <f t="shared" si="52"/>
        <v>0</v>
      </c>
      <c r="BP191" s="160">
        <f t="shared" si="50"/>
        <v>0</v>
      </c>
      <c r="BQ191" s="131"/>
      <c r="BR191" s="132"/>
      <c r="BS191" s="133"/>
      <c r="BT191" s="134"/>
      <c r="BU191" s="135"/>
    </row>
    <row r="192" spans="2:73" s="80" customFormat="1" ht="72.75" customHeight="1">
      <c r="B192" s="665"/>
      <c r="C192" s="666"/>
      <c r="D192" s="162" t="s">
        <v>256</v>
      </c>
      <c r="E192" s="271" t="s">
        <v>257</v>
      </c>
      <c r="F192" s="224" t="s">
        <v>258</v>
      </c>
      <c r="G192" s="162" t="s">
        <v>335</v>
      </c>
      <c r="H192" s="162">
        <v>5</v>
      </c>
      <c r="I192" s="162"/>
      <c r="J192" s="162"/>
      <c r="K192" s="165"/>
      <c r="L192" s="165">
        <v>30</v>
      </c>
      <c r="M192" s="162" t="s">
        <v>335</v>
      </c>
      <c r="N192" s="166">
        <v>5</v>
      </c>
      <c r="O192" s="166"/>
      <c r="P192" s="166"/>
      <c r="Q192" s="167"/>
      <c r="R192" s="167">
        <v>30</v>
      </c>
      <c r="S192" s="115"/>
      <c r="T192" s="170"/>
      <c r="U192" s="169"/>
      <c r="V192" s="170"/>
      <c r="W192" s="169"/>
      <c r="X192" s="193"/>
      <c r="Y192" s="188"/>
      <c r="Z192" s="167">
        <v>30</v>
      </c>
      <c r="AA192" s="168"/>
      <c r="AB192" s="168"/>
      <c r="AC192" s="168"/>
      <c r="AD192" s="128"/>
      <c r="AE192" s="128"/>
      <c r="AI192" s="174"/>
      <c r="AJ192" s="174"/>
      <c r="AM192" s="175">
        <f t="shared" si="64"/>
        <v>0</v>
      </c>
      <c r="AN192" s="122"/>
      <c r="AO192" s="419"/>
      <c r="AP192" s="189"/>
      <c r="AQ192" s="657"/>
      <c r="AR192" s="124"/>
      <c r="AS192" s="124">
        <v>19.8</v>
      </c>
      <c r="AT192" s="181">
        <f>AR192-X192</f>
        <v>0</v>
      </c>
      <c r="AU192" s="182">
        <f>AS192-Z192</f>
        <v>-10.2</v>
      </c>
      <c r="AV192" s="167">
        <f t="shared" si="49"/>
        <v>-10.2</v>
      </c>
      <c r="AW192" s="579"/>
      <c r="AX192" s="110"/>
      <c r="BO192" s="159">
        <f t="shared" si="52"/>
        <v>0</v>
      </c>
      <c r="BP192" s="160">
        <f t="shared" si="50"/>
        <v>0</v>
      </c>
      <c r="BQ192" s="131"/>
      <c r="BR192" s="132"/>
      <c r="BS192" s="133"/>
      <c r="BT192" s="134"/>
      <c r="BU192" s="135"/>
    </row>
    <row r="193" spans="1:73" s="80" customFormat="1" ht="47.25" customHeight="1">
      <c r="A193" s="110"/>
      <c r="B193" s="111"/>
      <c r="C193" s="112"/>
      <c r="D193" s="162" t="s">
        <v>259</v>
      </c>
      <c r="E193" s="271" t="s">
        <v>260</v>
      </c>
      <c r="F193" s="667"/>
      <c r="G193" s="162"/>
      <c r="H193" s="162"/>
      <c r="I193" s="162"/>
      <c r="J193" s="162"/>
      <c r="K193" s="165"/>
      <c r="L193" s="165">
        <v>450</v>
      </c>
      <c r="M193" s="162"/>
      <c r="N193" s="166"/>
      <c r="O193" s="166"/>
      <c r="P193" s="166"/>
      <c r="Q193" s="167"/>
      <c r="R193" s="167">
        <v>450</v>
      </c>
      <c r="S193" s="115"/>
      <c r="T193" s="170"/>
      <c r="U193" s="169"/>
      <c r="V193" s="170"/>
      <c r="W193" s="169"/>
      <c r="X193" s="193"/>
      <c r="Y193" s="188"/>
      <c r="Z193" s="167">
        <f>465</f>
        <v>465</v>
      </c>
      <c r="AA193" s="168"/>
      <c r="AB193" s="168">
        <f>Z193-R193</f>
        <v>15</v>
      </c>
      <c r="AC193" s="168">
        <f>AB193+AA193</f>
        <v>15</v>
      </c>
      <c r="AD193" s="128"/>
      <c r="AE193" s="128"/>
      <c r="AI193" s="174"/>
      <c r="AJ193" s="174"/>
      <c r="AM193" s="175">
        <f t="shared" si="64"/>
        <v>0</v>
      </c>
      <c r="AN193" s="122"/>
      <c r="AO193" s="419"/>
      <c r="AP193" s="123"/>
      <c r="AQ193" s="657"/>
      <c r="AR193" s="124">
        <v>18.8</v>
      </c>
      <c r="AS193" s="124">
        <f>407.4+1</f>
        <v>408.4</v>
      </c>
      <c r="AT193" s="181">
        <f>AR193-X193</f>
        <v>18.8</v>
      </c>
      <c r="AU193" s="182">
        <f>AS193-Z193</f>
        <v>-56.60000000000002</v>
      </c>
      <c r="AV193" s="167">
        <f t="shared" si="49"/>
        <v>-37.800000000000026</v>
      </c>
      <c r="AW193" s="564"/>
      <c r="AX193" s="377"/>
      <c r="AY193" s="389"/>
      <c r="AZ193" s="389">
        <f>Z193</f>
        <v>465</v>
      </c>
      <c r="BA193" s="389"/>
      <c r="BB193" s="389"/>
      <c r="BC193" s="389"/>
      <c r="BD193" s="393">
        <f>R193</f>
        <v>450</v>
      </c>
      <c r="BE193" s="389"/>
      <c r="BO193" s="159">
        <f t="shared" si="52"/>
        <v>0</v>
      </c>
      <c r="BP193" s="160">
        <f t="shared" si="50"/>
        <v>18.8</v>
      </c>
      <c r="BQ193" s="131"/>
      <c r="BR193" s="132"/>
      <c r="BS193" s="133"/>
      <c r="BT193" s="134"/>
      <c r="BU193" s="135"/>
    </row>
    <row r="194" spans="1:73" s="80" customFormat="1" ht="29.25" customHeight="1">
      <c r="A194" s="110"/>
      <c r="B194" s="111"/>
      <c r="C194" s="112"/>
      <c r="D194" s="381" t="s">
        <v>121</v>
      </c>
      <c r="E194" s="380"/>
      <c r="F194" s="271"/>
      <c r="G194" s="381"/>
      <c r="H194" s="381"/>
      <c r="I194" s="381"/>
      <c r="J194" s="381"/>
      <c r="K194" s="382">
        <f>SUM(K192:K193)</f>
        <v>0</v>
      </c>
      <c r="L194" s="382">
        <f>SUM(L192:L193)</f>
        <v>480</v>
      </c>
      <c r="M194" s="381"/>
      <c r="N194" s="383"/>
      <c r="O194" s="383"/>
      <c r="P194" s="383"/>
      <c r="Q194" s="384">
        <f>SUM(Q192:Q193)</f>
        <v>0</v>
      </c>
      <c r="R194" s="384">
        <f>SUM(R192:R193)</f>
        <v>480</v>
      </c>
      <c r="S194" s="115"/>
      <c r="T194" s="170"/>
      <c r="U194" s="169"/>
      <c r="V194" s="170"/>
      <c r="W194" s="169"/>
      <c r="X194" s="384">
        <f>SUM(X192:X193)</f>
        <v>0</v>
      </c>
      <c r="Y194" s="384">
        <f>SUM(Y192:Y193)</f>
        <v>0</v>
      </c>
      <c r="Z194" s="384">
        <f>SUM(Z192:Z193)</f>
        <v>495</v>
      </c>
      <c r="AA194" s="168"/>
      <c r="AB194" s="167">
        <f>Z194-R194</f>
        <v>15</v>
      </c>
      <c r="AC194" s="167">
        <f>AB194+AA194</f>
        <v>15</v>
      </c>
      <c r="AD194" s="128"/>
      <c r="AE194" s="128"/>
      <c r="AI194" s="174"/>
      <c r="AJ194" s="174"/>
      <c r="AM194" s="175">
        <f t="shared" si="64"/>
        <v>0</v>
      </c>
      <c r="AN194" s="122"/>
      <c r="AO194" s="419"/>
      <c r="AP194" s="123"/>
      <c r="AQ194" s="657"/>
      <c r="AR194" s="124">
        <f>SUM(AR192:AR193)</f>
        <v>18.8</v>
      </c>
      <c r="AS194" s="124">
        <f>SUM(AS192:AS193)</f>
        <v>428.2</v>
      </c>
      <c r="AT194" s="181">
        <f>AR194-X194</f>
        <v>18.8</v>
      </c>
      <c r="AU194" s="506">
        <f>AS194-Z194</f>
        <v>-66.80000000000001</v>
      </c>
      <c r="AV194" s="167">
        <f t="shared" si="49"/>
        <v>-48.000000000000014</v>
      </c>
      <c r="AW194" s="567"/>
      <c r="AX194" s="419">
        <f>X194</f>
        <v>0</v>
      </c>
      <c r="AY194" s="409"/>
      <c r="AZ194" s="420">
        <f>Z194</f>
        <v>495</v>
      </c>
      <c r="BA194" s="420">
        <f>AX194+AZ194</f>
        <v>495</v>
      </c>
      <c r="BB194" s="420"/>
      <c r="BC194" s="409"/>
      <c r="BD194" s="422">
        <f>Q194+R194</f>
        <v>480</v>
      </c>
      <c r="BE194" s="422">
        <f>BA194-BD194</f>
        <v>15</v>
      </c>
      <c r="BO194" s="159">
        <f t="shared" si="52"/>
        <v>0</v>
      </c>
      <c r="BP194" s="160">
        <f t="shared" si="50"/>
        <v>18.8</v>
      </c>
      <c r="BQ194" s="131"/>
      <c r="BR194" s="132"/>
      <c r="BS194" s="133"/>
      <c r="BT194" s="134"/>
      <c r="BU194" s="135"/>
    </row>
    <row r="195" spans="1:73" s="80" customFormat="1" ht="66.75" customHeight="1">
      <c r="A195" s="110"/>
      <c r="B195" s="111"/>
      <c r="C195" s="112"/>
      <c r="D195" s="668" t="s">
        <v>261</v>
      </c>
      <c r="E195" s="669"/>
      <c r="F195" s="669"/>
      <c r="G195" s="670"/>
      <c r="H195" s="670"/>
      <c r="I195" s="670"/>
      <c r="J195" s="668">
        <f>J190+J171+J138+J106+J83</f>
        <v>7051</v>
      </c>
      <c r="K195" s="671">
        <f>K190+K171+K138+K106+K83+K194</f>
        <v>2243.0299999999997</v>
      </c>
      <c r="L195" s="671">
        <f>L190+L171+L138+L106+L83+L194</f>
        <v>3079.2000000000003</v>
      </c>
      <c r="M195" s="670"/>
      <c r="N195" s="670"/>
      <c r="O195" s="670"/>
      <c r="P195" s="668"/>
      <c r="Q195" s="671">
        <f>Q190+Q171+Q138+Q106+Q83+Q194</f>
        <v>2364.7</v>
      </c>
      <c r="R195" s="671">
        <f>R190+R171+R138+R106+R83+R194</f>
        <v>3135.5</v>
      </c>
      <c r="S195" s="672">
        <f>L195+K195</f>
        <v>5322.23</v>
      </c>
      <c r="T195" s="673"/>
      <c r="U195" s="674"/>
      <c r="V195" s="673"/>
      <c r="W195" s="674"/>
      <c r="X195" s="671">
        <f>X190+X171+X138+X106+X83+X194</f>
        <v>2400</v>
      </c>
      <c r="Y195" s="671" t="e">
        <f>Y190+Y171+Y138+Y106+Y83+Y194</f>
        <v>#VALUE!</v>
      </c>
      <c r="Z195" s="671">
        <f>Z190+Z171+Z138+Z106+Z83+Z194</f>
        <v>3135.5</v>
      </c>
      <c r="AA195" s="671"/>
      <c r="AB195" s="671">
        <f>AB190+AB171+AB138+AB106+AB83+AB194</f>
        <v>0</v>
      </c>
      <c r="AC195" s="671"/>
      <c r="AD195" s="173"/>
      <c r="AE195" s="128"/>
      <c r="AI195" s="174"/>
      <c r="AJ195" s="174"/>
      <c r="AM195" s="175" t="e">
        <f t="shared" si="64"/>
        <v>#VALUE!</v>
      </c>
      <c r="AN195" s="122"/>
      <c r="AO195" s="419"/>
      <c r="AP195" s="123"/>
      <c r="AQ195" s="657"/>
      <c r="AR195" s="124"/>
      <c r="AS195" s="124"/>
      <c r="AT195" s="181"/>
      <c r="AU195" s="182"/>
      <c r="AV195" s="167">
        <f t="shared" si="49"/>
        <v>0</v>
      </c>
      <c r="AW195" s="579"/>
      <c r="AX195" s="675">
        <f>AX190+AX171+AX138+AX106+AX83</f>
        <v>2400</v>
      </c>
      <c r="AY195" s="676">
        <f>AY190+AY171+AY138+AY106+AY83</f>
        <v>0</v>
      </c>
      <c r="AZ195" s="676">
        <f>AZ190+AZ171+AZ138+AZ106+AZ83+AZ194</f>
        <v>3135.5</v>
      </c>
      <c r="BA195" s="676">
        <f>BA190+BA171+BA138+BA106+BA83+BA194</f>
        <v>5535.5</v>
      </c>
      <c r="BB195" s="421">
        <f>Q195</f>
        <v>2364.7</v>
      </c>
      <c r="BC195" s="421">
        <f>R195</f>
        <v>3135.5</v>
      </c>
      <c r="BD195" s="676">
        <f>BD190+BD171+BD138+BD106+BD83+BD194</f>
        <v>5500.200000000001</v>
      </c>
      <c r="BE195" s="676">
        <f>BE190+BE171+BE138+BE106+BE83+BE194</f>
        <v>35.300000000000296</v>
      </c>
      <c r="BO195" s="132"/>
      <c r="BP195" s="199"/>
      <c r="BQ195" s="132" t="s">
        <v>262</v>
      </c>
      <c r="BR195" s="132"/>
      <c r="BS195" s="133"/>
      <c r="BT195" s="134"/>
      <c r="BU195" s="135"/>
    </row>
    <row r="196" spans="1:73" s="80" customFormat="1" ht="84.75" customHeight="1" hidden="1">
      <c r="A196" s="110"/>
      <c r="B196" s="111"/>
      <c r="C196" s="111"/>
      <c r="D196" s="677"/>
      <c r="E196" s="678"/>
      <c r="F196" s="678"/>
      <c r="G196" s="679"/>
      <c r="H196" s="679"/>
      <c r="I196" s="679"/>
      <c r="J196" s="677"/>
      <c r="K196" s="659"/>
      <c r="L196" s="659"/>
      <c r="M196" s="679"/>
      <c r="N196" s="680"/>
      <c r="O196" s="680"/>
      <c r="P196" s="681"/>
      <c r="Q196" s="682"/>
      <c r="R196" s="682"/>
      <c r="S196" s="683"/>
      <c r="T196" s="684"/>
      <c r="U196" s="685"/>
      <c r="V196" s="684"/>
      <c r="W196" s="685"/>
      <c r="X196" s="682"/>
      <c r="Y196" s="686"/>
      <c r="Z196" s="687"/>
      <c r="AA196" s="687"/>
      <c r="AB196" s="687"/>
      <c r="AC196" s="687"/>
      <c r="AD196" s="173"/>
      <c r="AE196" s="128"/>
      <c r="AI196" s="174"/>
      <c r="AJ196" s="174"/>
      <c r="AM196" s="175">
        <f t="shared" si="64"/>
        <v>0</v>
      </c>
      <c r="AN196" s="122"/>
      <c r="AO196" s="419"/>
      <c r="AP196" s="123"/>
      <c r="AQ196" s="657"/>
      <c r="AR196" s="688"/>
      <c r="AS196" s="181"/>
      <c r="AT196" s="181">
        <f aca="true" t="shared" si="66" ref="AT196:AT206">AR196-X196</f>
        <v>0</v>
      </c>
      <c r="AU196" s="182">
        <f aca="true" t="shared" si="67" ref="AU196:AU206">AS196-Z196</f>
        <v>0</v>
      </c>
      <c r="AV196" s="167">
        <f t="shared" si="49"/>
        <v>0</v>
      </c>
      <c r="AW196" s="579"/>
      <c r="AX196" s="110"/>
      <c r="BO196" s="132"/>
      <c r="BP196" s="199"/>
      <c r="BQ196" s="132"/>
      <c r="BR196" s="132"/>
      <c r="BS196" s="133"/>
      <c r="BT196" s="134"/>
      <c r="BU196" s="135"/>
    </row>
    <row r="197" spans="1:73" s="80" customFormat="1" ht="84.75" customHeight="1" hidden="1">
      <c r="A197" s="110"/>
      <c r="B197" s="111"/>
      <c r="C197" s="111"/>
      <c r="D197" s="677"/>
      <c r="E197" s="678"/>
      <c r="F197" s="678"/>
      <c r="G197" s="679"/>
      <c r="H197" s="679"/>
      <c r="I197" s="679"/>
      <c r="J197" s="677"/>
      <c r="K197" s="659"/>
      <c r="L197" s="659"/>
      <c r="M197" s="679"/>
      <c r="N197" s="680"/>
      <c r="O197" s="680"/>
      <c r="P197" s="681"/>
      <c r="Q197" s="682"/>
      <c r="R197" s="682"/>
      <c r="S197" s="683"/>
      <c r="T197" s="684"/>
      <c r="U197" s="685"/>
      <c r="V197" s="684"/>
      <c r="W197" s="685"/>
      <c r="X197" s="682"/>
      <c r="Y197" s="686"/>
      <c r="Z197" s="687"/>
      <c r="AA197" s="687"/>
      <c r="AB197" s="687"/>
      <c r="AC197" s="687"/>
      <c r="AD197" s="173"/>
      <c r="AE197" s="128"/>
      <c r="AI197" s="174"/>
      <c r="AJ197" s="174"/>
      <c r="AM197" s="175">
        <f t="shared" si="64"/>
        <v>0</v>
      </c>
      <c r="AN197" s="122"/>
      <c r="AO197" s="419"/>
      <c r="AP197" s="123"/>
      <c r="AQ197" s="657"/>
      <c r="AR197" s="688"/>
      <c r="AS197" s="181"/>
      <c r="AT197" s="181">
        <f t="shared" si="66"/>
        <v>0</v>
      </c>
      <c r="AU197" s="182">
        <f t="shared" si="67"/>
        <v>0</v>
      </c>
      <c r="AV197" s="167">
        <f t="shared" si="49"/>
        <v>0</v>
      </c>
      <c r="AW197" s="579"/>
      <c r="AX197" s="110"/>
      <c r="BO197" s="132"/>
      <c r="BP197" s="199"/>
      <c r="BQ197" s="132"/>
      <c r="BR197" s="132"/>
      <c r="BS197" s="133"/>
      <c r="BT197" s="134"/>
      <c r="BU197" s="135"/>
    </row>
    <row r="198" spans="1:73" s="80" customFormat="1" ht="84.75" customHeight="1" hidden="1">
      <c r="A198" s="110"/>
      <c r="B198" s="111"/>
      <c r="C198" s="111"/>
      <c r="D198" s="677"/>
      <c r="E198" s="678"/>
      <c r="F198" s="678"/>
      <c r="G198" s="679"/>
      <c r="H198" s="679"/>
      <c r="I198" s="679"/>
      <c r="J198" s="677"/>
      <c r="K198" s="659"/>
      <c r="L198" s="659"/>
      <c r="M198" s="679"/>
      <c r="N198" s="680"/>
      <c r="O198" s="680"/>
      <c r="P198" s="681"/>
      <c r="Q198" s="682"/>
      <c r="R198" s="682"/>
      <c r="S198" s="683"/>
      <c r="T198" s="684"/>
      <c r="U198" s="685"/>
      <c r="V198" s="684"/>
      <c r="W198" s="685"/>
      <c r="X198" s="682"/>
      <c r="Y198" s="686"/>
      <c r="Z198" s="687"/>
      <c r="AA198" s="687"/>
      <c r="AB198" s="687"/>
      <c r="AC198" s="687"/>
      <c r="AD198" s="173"/>
      <c r="AE198" s="128"/>
      <c r="AI198" s="174"/>
      <c r="AJ198" s="174"/>
      <c r="AM198" s="175">
        <f t="shared" si="64"/>
        <v>0</v>
      </c>
      <c r="AN198" s="122"/>
      <c r="AO198" s="419"/>
      <c r="AP198" s="123"/>
      <c r="AQ198" s="657"/>
      <c r="AR198" s="688"/>
      <c r="AS198" s="181"/>
      <c r="AT198" s="181">
        <f t="shared" si="66"/>
        <v>0</v>
      </c>
      <c r="AU198" s="182">
        <f t="shared" si="67"/>
        <v>0</v>
      </c>
      <c r="AV198" s="167">
        <f t="shared" si="49"/>
        <v>0</v>
      </c>
      <c r="AW198" s="579"/>
      <c r="AX198" s="110"/>
      <c r="BO198" s="132"/>
      <c r="BP198" s="199"/>
      <c r="BQ198" s="132"/>
      <c r="BR198" s="132"/>
      <c r="BS198" s="133"/>
      <c r="BT198" s="134"/>
      <c r="BU198" s="135"/>
    </row>
    <row r="199" spans="1:73" s="80" customFormat="1" ht="84.75" customHeight="1" hidden="1">
      <c r="A199" s="110"/>
      <c r="B199" s="111"/>
      <c r="C199" s="112"/>
      <c r="D199" s="677"/>
      <c r="E199" s="678"/>
      <c r="G199" s="679"/>
      <c r="H199" s="679"/>
      <c r="I199" s="679"/>
      <c r="J199" s="677"/>
      <c r="K199" s="659"/>
      <c r="L199" s="659"/>
      <c r="M199" s="679"/>
      <c r="N199" s="680"/>
      <c r="O199" s="680"/>
      <c r="P199" s="681"/>
      <c r="Q199" s="682"/>
      <c r="R199" s="682"/>
      <c r="S199" s="683"/>
      <c r="T199" s="684"/>
      <c r="U199" s="685"/>
      <c r="V199" s="684"/>
      <c r="W199" s="685"/>
      <c r="X199" s="682"/>
      <c r="Y199" s="686"/>
      <c r="Z199" s="687"/>
      <c r="AA199" s="687"/>
      <c r="AB199" s="687"/>
      <c r="AC199" s="687"/>
      <c r="AD199" s="173"/>
      <c r="AE199" s="128"/>
      <c r="AI199" s="174"/>
      <c r="AJ199" s="174"/>
      <c r="AM199" s="175"/>
      <c r="AN199" s="122"/>
      <c r="AO199" s="419"/>
      <c r="AP199" s="123"/>
      <c r="AQ199" s="657"/>
      <c r="AR199" s="688"/>
      <c r="AS199" s="181"/>
      <c r="AT199" s="181">
        <f t="shared" si="66"/>
        <v>0</v>
      </c>
      <c r="AU199" s="182">
        <f t="shared" si="67"/>
        <v>0</v>
      </c>
      <c r="AV199" s="167">
        <f t="shared" si="49"/>
        <v>0</v>
      </c>
      <c r="AW199" s="579"/>
      <c r="AX199" s="110"/>
      <c r="BO199" s="132"/>
      <c r="BP199" s="199"/>
      <c r="BQ199" s="132"/>
      <c r="BR199" s="132"/>
      <c r="BS199" s="133"/>
      <c r="BT199" s="134"/>
      <c r="BU199" s="135"/>
    </row>
    <row r="200" spans="1:73" s="80" customFormat="1" ht="94.5" customHeight="1" hidden="1">
      <c r="A200" s="110"/>
      <c r="B200" s="111"/>
      <c r="C200" s="112"/>
      <c r="D200" s="677"/>
      <c r="E200" s="678"/>
      <c r="G200" s="679"/>
      <c r="H200" s="679"/>
      <c r="I200" s="679"/>
      <c r="J200" s="677"/>
      <c r="K200" s="659"/>
      <c r="L200" s="659"/>
      <c r="M200" s="679"/>
      <c r="N200" s="680"/>
      <c r="O200" s="680"/>
      <c r="P200" s="681"/>
      <c r="Q200" s="682"/>
      <c r="R200" s="682"/>
      <c r="S200" s="683"/>
      <c r="T200" s="684"/>
      <c r="U200" s="685"/>
      <c r="V200" s="684"/>
      <c r="W200" s="685"/>
      <c r="X200" s="682"/>
      <c r="Y200" s="686"/>
      <c r="Z200" s="687"/>
      <c r="AA200" s="687"/>
      <c r="AB200" s="687"/>
      <c r="AC200" s="687"/>
      <c r="AD200" s="173"/>
      <c r="AE200" s="128"/>
      <c r="AI200" s="174"/>
      <c r="AJ200" s="174"/>
      <c r="AM200" s="175"/>
      <c r="AN200" s="122"/>
      <c r="AO200" s="419"/>
      <c r="AP200" s="123"/>
      <c r="AQ200" s="657"/>
      <c r="AR200" s="688"/>
      <c r="AS200" s="181"/>
      <c r="AT200" s="181">
        <f t="shared" si="66"/>
        <v>0</v>
      </c>
      <c r="AU200" s="182">
        <f t="shared" si="67"/>
        <v>0</v>
      </c>
      <c r="AV200" s="167">
        <f t="shared" si="49"/>
        <v>0</v>
      </c>
      <c r="AW200" s="579" t="s">
        <v>263</v>
      </c>
      <c r="AX200" s="689" t="s">
        <v>264</v>
      </c>
      <c r="AY200" s="579"/>
      <c r="AZ200" s="110" t="s">
        <v>265</v>
      </c>
      <c r="BA200" s="690" t="s">
        <v>264</v>
      </c>
      <c r="BB200" s="690"/>
      <c r="BC200" s="110"/>
      <c r="BD200" s="691" t="s">
        <v>266</v>
      </c>
      <c r="BE200" s="691"/>
      <c r="BF200" s="110" t="s">
        <v>267</v>
      </c>
      <c r="BG200" s="691" t="s">
        <v>268</v>
      </c>
      <c r="BH200" s="691"/>
      <c r="BI200" s="110" t="s">
        <v>269</v>
      </c>
      <c r="BJ200" s="692" t="s">
        <v>270</v>
      </c>
      <c r="BK200" s="692"/>
      <c r="BL200" s="80" t="s">
        <v>120</v>
      </c>
      <c r="BO200" s="132"/>
      <c r="BP200" s="199"/>
      <c r="BQ200" s="132"/>
      <c r="BR200" s="132"/>
      <c r="BS200" s="133"/>
      <c r="BT200" s="134"/>
      <c r="BU200" s="135"/>
    </row>
    <row r="201" spans="1:75" s="80" customFormat="1" ht="39" customHeight="1">
      <c r="A201" s="110"/>
      <c r="B201" s="111"/>
      <c r="C201" s="112"/>
      <c r="D201" s="693"/>
      <c r="E201" s="110"/>
      <c r="F201" s="694" t="s">
        <v>326</v>
      </c>
      <c r="G201" s="695"/>
      <c r="H201" s="695"/>
      <c r="I201" s="695"/>
      <c r="J201" s="696"/>
      <c r="K201" s="697">
        <f>K83</f>
        <v>1221.2999999999997</v>
      </c>
      <c r="L201" s="697">
        <f>L83</f>
        <v>301.5</v>
      </c>
      <c r="M201" s="695"/>
      <c r="N201" s="695"/>
      <c r="O201" s="695"/>
      <c r="P201" s="696"/>
      <c r="Q201" s="698">
        <f>Q83</f>
        <v>1221.2999999999997</v>
      </c>
      <c r="R201" s="698">
        <f>R83</f>
        <v>301.5</v>
      </c>
      <c r="S201" s="699">
        <f aca="true" t="shared" si="68" ref="S201:S207">L201+K201</f>
        <v>1522.7999999999997</v>
      </c>
      <c r="T201" s="700"/>
      <c r="U201" s="701"/>
      <c r="V201" s="700"/>
      <c r="W201" s="701"/>
      <c r="X201" s="702">
        <f aca="true" t="shared" si="69" ref="X201:AC201">X83</f>
        <v>1236.7</v>
      </c>
      <c r="Y201" s="702">
        <f t="shared" si="69"/>
        <v>1171.1333333333334</v>
      </c>
      <c r="Z201" s="702">
        <f>Z83</f>
        <v>548.1</v>
      </c>
      <c r="AA201" s="167">
        <f t="shared" si="69"/>
        <v>15.400000000000318</v>
      </c>
      <c r="AB201" s="167">
        <f t="shared" si="69"/>
        <v>246.60000000000002</v>
      </c>
      <c r="AC201" s="167">
        <f t="shared" si="69"/>
        <v>262.00000000000034</v>
      </c>
      <c r="AD201" s="703"/>
      <c r="AE201" s="704">
        <f aca="true" t="shared" si="70" ref="AE201:AE207">L201+K201</f>
        <v>1522.7999999999997</v>
      </c>
      <c r="AF201" s="190">
        <f aca="true" t="shared" si="71" ref="AF201:AF207">L201-R201</f>
        <v>0</v>
      </c>
      <c r="AG201" s="190"/>
      <c r="AH201" s="190"/>
      <c r="AI201" s="174"/>
      <c r="AJ201" s="174"/>
      <c r="AM201" s="175">
        <f aca="true" t="shared" si="72" ref="AM201:AM207">X201-Y201</f>
        <v>65.5666666666666</v>
      </c>
      <c r="AN201" s="122"/>
      <c r="AO201" s="419"/>
      <c r="AP201" s="123"/>
      <c r="AQ201" s="657"/>
      <c r="AR201" s="702">
        <f>AR83</f>
        <v>1274.9166666666667</v>
      </c>
      <c r="AS201" s="702">
        <f>AS83</f>
        <v>608.3000000000001</v>
      </c>
      <c r="AT201" s="181">
        <f t="shared" si="66"/>
        <v>38.2166666666667</v>
      </c>
      <c r="AU201" s="182">
        <f t="shared" si="67"/>
        <v>60.200000000000045</v>
      </c>
      <c r="AV201" s="167">
        <f t="shared" si="49"/>
        <v>98.41666666666674</v>
      </c>
      <c r="AW201" s="705">
        <f aca="true" t="shared" si="73" ref="AW201:AW206">X201+Z201</f>
        <v>1784.8000000000002</v>
      </c>
      <c r="AX201" s="706">
        <f aca="true" t="shared" si="74" ref="AX201:AX206">AW201/5535.5*100</f>
        <v>32.24279649534821</v>
      </c>
      <c r="AY201" s="707">
        <f aca="true" t="shared" si="75" ref="AY201:AY206">AW201-AC201</f>
        <v>1522.7999999999997</v>
      </c>
      <c r="AZ201" s="708">
        <v>1522.8</v>
      </c>
      <c r="BA201" s="709">
        <f aca="true" t="shared" si="76" ref="BA201:BA206">AZ201/5535.5*100</f>
        <v>27.509710053292384</v>
      </c>
      <c r="BB201" s="710"/>
      <c r="BD201" s="711">
        <f aca="true" t="shared" si="77" ref="BD201:BD206">AZ201/365</f>
        <v>4.172054794520548</v>
      </c>
      <c r="BE201" s="712">
        <f>AW201/365</f>
        <v>4.889863013698631</v>
      </c>
      <c r="BF201" s="713">
        <f>4.5*365</f>
        <v>1642.5</v>
      </c>
      <c r="BG201" s="708">
        <f aca="true" t="shared" si="78" ref="BG201:BG207">AZ201-BF201</f>
        <v>-119.70000000000005</v>
      </c>
      <c r="BH201" s="714">
        <f>AW201-BF201</f>
        <v>142.30000000000018</v>
      </c>
      <c r="BI201" s="713">
        <f aca="true" t="shared" si="79" ref="BI201:BI206">BF201*5535.5/6825.5</f>
        <v>1332.072192513369</v>
      </c>
      <c r="BJ201" s="709">
        <f aca="true" t="shared" si="80" ref="BJ201:BJ206">AZ201-BI201</f>
        <v>190.72780748663104</v>
      </c>
      <c r="BK201" s="714">
        <f aca="true" t="shared" si="81" ref="BK201:BK206">AW201-BI201</f>
        <v>452.72780748663126</v>
      </c>
      <c r="BL201" s="80">
        <f>Z82</f>
        <v>342.3</v>
      </c>
      <c r="BM201" s="80">
        <v>-150</v>
      </c>
      <c r="BO201" s="715">
        <f aca="true" t="shared" si="82" ref="BO201:BO207">AR201+AS201</f>
        <v>1883.2166666666667</v>
      </c>
      <c r="BP201" s="160">
        <f>BO201-AV201</f>
        <v>1784.8</v>
      </c>
      <c r="BQ201" s="617">
        <f>'[1]2007 зміни'!AP294</f>
        <v>1784.8000000000002</v>
      </c>
      <c r="BR201" s="715"/>
      <c r="BS201" s="133">
        <f>BS83</f>
        <v>4.7</v>
      </c>
      <c r="BT201" s="133">
        <f>BT83</f>
        <v>408.8</v>
      </c>
      <c r="BU201" s="133">
        <f>BU83</f>
        <v>194.8</v>
      </c>
      <c r="BV201" s="190">
        <f aca="true" t="shared" si="83" ref="BV201:BV207">AR201+AS201</f>
        <v>1883.2166666666667</v>
      </c>
      <c r="BW201" s="190"/>
    </row>
    <row r="202" spans="1:75" s="80" customFormat="1" ht="28.5" customHeight="1">
      <c r="A202" s="110"/>
      <c r="B202" s="111"/>
      <c r="C202" s="112"/>
      <c r="D202" s="693"/>
      <c r="E202" s="110"/>
      <c r="F202" s="694" t="s">
        <v>551</v>
      </c>
      <c r="G202" s="695"/>
      <c r="H202" s="695"/>
      <c r="I202" s="695"/>
      <c r="J202" s="716"/>
      <c r="K202" s="697">
        <f>K106</f>
        <v>44</v>
      </c>
      <c r="L202" s="697">
        <f>L106</f>
        <v>1686.1000000000001</v>
      </c>
      <c r="M202" s="695"/>
      <c r="N202" s="695"/>
      <c r="O202" s="695"/>
      <c r="P202" s="716"/>
      <c r="Q202" s="698">
        <f>Q106</f>
        <v>38</v>
      </c>
      <c r="R202" s="698">
        <f>R106</f>
        <v>1686.1000000000001</v>
      </c>
      <c r="S202" s="699">
        <f t="shared" si="68"/>
        <v>1730.1000000000001</v>
      </c>
      <c r="T202" s="700"/>
      <c r="U202" s="701"/>
      <c r="V202" s="700"/>
      <c r="W202" s="701"/>
      <c r="X202" s="702">
        <f aca="true" t="shared" si="84" ref="X202:AC202">X106</f>
        <v>130.39999999999998</v>
      </c>
      <c r="Y202" s="702">
        <f t="shared" si="84"/>
        <v>130.39999999999998</v>
      </c>
      <c r="Z202" s="702">
        <f t="shared" si="84"/>
        <v>505</v>
      </c>
      <c r="AA202" s="167">
        <f t="shared" si="84"/>
        <v>92.39999999999998</v>
      </c>
      <c r="AB202" s="167">
        <f t="shared" si="84"/>
        <v>-1181.1000000000001</v>
      </c>
      <c r="AC202" s="167">
        <f t="shared" si="84"/>
        <v>-1088.7000000000003</v>
      </c>
      <c r="AD202" s="703"/>
      <c r="AE202" s="704">
        <f t="shared" si="70"/>
        <v>1730.1000000000001</v>
      </c>
      <c r="AF202" s="190">
        <f t="shared" si="71"/>
        <v>0</v>
      </c>
      <c r="AG202" s="190"/>
      <c r="AH202" s="190"/>
      <c r="AI202" s="174"/>
      <c r="AJ202" s="174"/>
      <c r="AM202" s="175">
        <f t="shared" si="72"/>
        <v>0</v>
      </c>
      <c r="AN202" s="122"/>
      <c r="AO202" s="419"/>
      <c r="AP202" s="123"/>
      <c r="AQ202" s="657"/>
      <c r="AR202" s="702">
        <f>AR106</f>
        <v>126.09999999999998</v>
      </c>
      <c r="AS202" s="702">
        <f>AS106</f>
        <v>418.5</v>
      </c>
      <c r="AT202" s="181">
        <f t="shared" si="66"/>
        <v>-4.299999999999997</v>
      </c>
      <c r="AU202" s="182">
        <f t="shared" si="67"/>
        <v>-86.5</v>
      </c>
      <c r="AV202" s="167">
        <f t="shared" si="49"/>
        <v>-90.8</v>
      </c>
      <c r="AW202" s="705">
        <f t="shared" si="73"/>
        <v>635.4</v>
      </c>
      <c r="AX202" s="706">
        <f t="shared" si="74"/>
        <v>11.47863788275675</v>
      </c>
      <c r="AY202" s="717">
        <f t="shared" si="75"/>
        <v>1724.1000000000004</v>
      </c>
      <c r="AZ202" s="718">
        <v>1724.1</v>
      </c>
      <c r="BA202" s="719">
        <f t="shared" si="76"/>
        <v>31.14623791888718</v>
      </c>
      <c r="BB202" s="710"/>
      <c r="BD202" s="720">
        <f t="shared" si="77"/>
        <v>4.723561643835616</v>
      </c>
      <c r="BE202" s="721">
        <f aca="true" t="shared" si="85" ref="BE202:BE207">AW202/365</f>
        <v>1.7408219178082192</v>
      </c>
      <c r="BF202" s="110">
        <f>3.7*365</f>
        <v>1350.5</v>
      </c>
      <c r="BG202" s="718">
        <f t="shared" si="78"/>
        <v>373.5999999999999</v>
      </c>
      <c r="BH202" s="332">
        <f aca="true" t="shared" si="86" ref="BH202:BH207">AW202-BF202</f>
        <v>-715.1</v>
      </c>
      <c r="BI202" s="122">
        <f t="shared" si="79"/>
        <v>1095.25935828877</v>
      </c>
      <c r="BJ202" s="719">
        <f t="shared" si="80"/>
        <v>628.8406417112299</v>
      </c>
      <c r="BK202" s="332">
        <f t="shared" si="81"/>
        <v>-459.85935828877007</v>
      </c>
      <c r="BL202" s="80">
        <f>Z105</f>
        <v>98.9</v>
      </c>
      <c r="BM202" s="80">
        <v>30</v>
      </c>
      <c r="BO202" s="715">
        <f t="shared" si="82"/>
        <v>544.6</v>
      </c>
      <c r="BP202" s="160">
        <f aca="true" t="shared" si="87" ref="BP202:BP207">BO202-AV202</f>
        <v>635.4</v>
      </c>
      <c r="BQ202" s="617">
        <f>'[1]2007 зміни'!AP295</f>
        <v>635.4</v>
      </c>
      <c r="BR202" s="715"/>
      <c r="BS202" s="133">
        <f>BS106</f>
        <v>186.7</v>
      </c>
      <c r="BT202" s="133">
        <f>BT106</f>
        <v>98.4</v>
      </c>
      <c r="BU202" s="133">
        <f>BU106</f>
        <v>133.4</v>
      </c>
      <c r="BV202" s="190">
        <f t="shared" si="83"/>
        <v>544.6</v>
      </c>
      <c r="BW202" s="190"/>
    </row>
    <row r="203" spans="1:75" s="80" customFormat="1" ht="38.25" customHeight="1">
      <c r="A203" s="110"/>
      <c r="B203" s="111"/>
      <c r="C203" s="112"/>
      <c r="D203" s="693"/>
      <c r="E203" s="110"/>
      <c r="F203" s="694" t="s">
        <v>18</v>
      </c>
      <c r="G203" s="695"/>
      <c r="H203" s="695"/>
      <c r="I203" s="695"/>
      <c r="J203" s="695"/>
      <c r="K203" s="722">
        <f>K138</f>
        <v>393.7</v>
      </c>
      <c r="L203" s="722">
        <f>L138</f>
        <v>141.6</v>
      </c>
      <c r="M203" s="695"/>
      <c r="N203" s="695"/>
      <c r="O203" s="695"/>
      <c r="P203" s="695"/>
      <c r="Q203" s="698">
        <f>Q138</f>
        <v>391.70000000000005</v>
      </c>
      <c r="R203" s="698">
        <f>R138</f>
        <v>197.9</v>
      </c>
      <c r="S203" s="699">
        <f t="shared" si="68"/>
        <v>535.3</v>
      </c>
      <c r="T203" s="700"/>
      <c r="U203" s="701"/>
      <c r="V203" s="700"/>
      <c r="W203" s="701"/>
      <c r="X203" s="702">
        <f aca="true" t="shared" si="88" ref="X203:AC203">X138</f>
        <v>394.8</v>
      </c>
      <c r="Y203" s="702">
        <f t="shared" si="88"/>
        <v>389.25000000000006</v>
      </c>
      <c r="Z203" s="702">
        <f t="shared" si="88"/>
        <v>539.9</v>
      </c>
      <c r="AA203" s="167">
        <f t="shared" si="88"/>
        <v>3.099999999999966</v>
      </c>
      <c r="AB203" s="167">
        <f t="shared" si="88"/>
        <v>342</v>
      </c>
      <c r="AC203" s="167">
        <f t="shared" si="88"/>
        <v>345.09999999999997</v>
      </c>
      <c r="AD203" s="703"/>
      <c r="AE203" s="704">
        <f t="shared" si="70"/>
        <v>535.3</v>
      </c>
      <c r="AF203" s="190">
        <f t="shared" si="71"/>
        <v>-56.30000000000001</v>
      </c>
      <c r="AG203" s="190"/>
      <c r="AH203" s="190"/>
      <c r="AI203" s="174"/>
      <c r="AJ203" s="174"/>
      <c r="AM203" s="175">
        <f t="shared" si="72"/>
        <v>5.5499999999999545</v>
      </c>
      <c r="AN203" s="122"/>
      <c r="AO203" s="419"/>
      <c r="AP203" s="123"/>
      <c r="AQ203" s="657"/>
      <c r="AR203" s="702">
        <f>AR138</f>
        <v>386</v>
      </c>
      <c r="AS203" s="702">
        <f>AS138</f>
        <v>609.5</v>
      </c>
      <c r="AT203" s="181">
        <f t="shared" si="66"/>
        <v>-8.800000000000011</v>
      </c>
      <c r="AU203" s="182">
        <f t="shared" si="67"/>
        <v>69.60000000000002</v>
      </c>
      <c r="AV203" s="167">
        <f>AT203+AU203</f>
        <v>60.80000000000001</v>
      </c>
      <c r="AW203" s="705">
        <f t="shared" si="73"/>
        <v>934.7</v>
      </c>
      <c r="AX203" s="706">
        <f t="shared" si="74"/>
        <v>16.88555686026556</v>
      </c>
      <c r="AY203" s="717">
        <f t="shared" si="75"/>
        <v>589.6000000000001</v>
      </c>
      <c r="AZ203" s="718">
        <v>589.6</v>
      </c>
      <c r="BA203" s="719">
        <f t="shared" si="76"/>
        <v>10.651251016168368</v>
      </c>
      <c r="BB203" s="710"/>
      <c r="BD203" s="720">
        <f t="shared" si="77"/>
        <v>1.6153424657534248</v>
      </c>
      <c r="BE203" s="721">
        <f t="shared" si="85"/>
        <v>2.5608219178082194</v>
      </c>
      <c r="BF203" s="110">
        <f>2*365</f>
        <v>730</v>
      </c>
      <c r="BG203" s="718">
        <f t="shared" si="78"/>
        <v>-140.39999999999998</v>
      </c>
      <c r="BH203" s="332">
        <f t="shared" si="86"/>
        <v>204.70000000000005</v>
      </c>
      <c r="BI203" s="122">
        <f t="shared" si="79"/>
        <v>592.0320855614973</v>
      </c>
      <c r="BJ203" s="719">
        <f t="shared" si="80"/>
        <v>-2.4320855614972743</v>
      </c>
      <c r="BK203" s="332">
        <f t="shared" si="81"/>
        <v>342.66791443850275</v>
      </c>
      <c r="BL203" s="80">
        <f>Z137</f>
        <v>376.4</v>
      </c>
      <c r="BO203" s="715">
        <f t="shared" si="82"/>
        <v>995.5</v>
      </c>
      <c r="BP203" s="160">
        <f t="shared" si="87"/>
        <v>934.7</v>
      </c>
      <c r="BQ203" s="617">
        <f>'[1]2007 зміни'!AP296</f>
        <v>934.7</v>
      </c>
      <c r="BR203" s="715"/>
      <c r="BS203" s="133">
        <f>BS138</f>
        <v>182</v>
      </c>
      <c r="BT203" s="133">
        <f>BT138</f>
        <v>362.5</v>
      </c>
      <c r="BU203" s="133">
        <f>BU138</f>
        <v>88.99999999999999</v>
      </c>
      <c r="BV203" s="190">
        <f t="shared" si="83"/>
        <v>995.5</v>
      </c>
      <c r="BW203" s="190"/>
    </row>
    <row r="204" spans="1:75" s="80" customFormat="1" ht="38.25" customHeight="1">
      <c r="A204" s="110"/>
      <c r="B204" s="111"/>
      <c r="C204" s="112"/>
      <c r="D204" s="693"/>
      <c r="E204" s="110"/>
      <c r="F204" s="694" t="s">
        <v>122</v>
      </c>
      <c r="G204" s="695"/>
      <c r="H204" s="695"/>
      <c r="I204" s="695"/>
      <c r="J204" s="695"/>
      <c r="K204" s="697">
        <f>K171</f>
        <v>250.53</v>
      </c>
      <c r="L204" s="697">
        <f>L171</f>
        <v>370</v>
      </c>
      <c r="M204" s="695"/>
      <c r="N204" s="695"/>
      <c r="O204" s="695"/>
      <c r="P204" s="695"/>
      <c r="Q204" s="698">
        <f>Q171</f>
        <v>388.40000000000003</v>
      </c>
      <c r="R204" s="698">
        <f>R171</f>
        <v>370</v>
      </c>
      <c r="S204" s="699">
        <f t="shared" si="68"/>
        <v>620.53</v>
      </c>
      <c r="T204" s="700"/>
      <c r="U204" s="701"/>
      <c r="V204" s="700"/>
      <c r="W204" s="701"/>
      <c r="X204" s="702">
        <f aca="true" t="shared" si="89" ref="X204:AC204">X171</f>
        <v>443.90000000000003</v>
      </c>
      <c r="Y204" s="702" t="e">
        <f t="shared" si="89"/>
        <v>#VALUE!</v>
      </c>
      <c r="Z204" s="702">
        <f t="shared" si="89"/>
        <v>816.4000000000001</v>
      </c>
      <c r="AA204" s="167">
        <f t="shared" si="89"/>
        <v>55.5</v>
      </c>
      <c r="AB204" s="167">
        <f t="shared" si="89"/>
        <v>446.4000000000001</v>
      </c>
      <c r="AC204" s="167">
        <f t="shared" si="89"/>
        <v>501.9000000000001</v>
      </c>
      <c r="AD204" s="703"/>
      <c r="AE204" s="704">
        <f t="shared" si="70"/>
        <v>620.53</v>
      </c>
      <c r="AF204" s="190">
        <f t="shared" si="71"/>
        <v>0</v>
      </c>
      <c r="AG204" s="190"/>
      <c r="AH204" s="190"/>
      <c r="AI204" s="174"/>
      <c r="AJ204" s="174"/>
      <c r="AM204" s="175" t="e">
        <f t="shared" si="72"/>
        <v>#VALUE!</v>
      </c>
      <c r="AN204" s="122"/>
      <c r="AO204" s="419"/>
      <c r="AP204" s="123"/>
      <c r="AQ204" s="657"/>
      <c r="AR204" s="702">
        <f>AR171</f>
        <v>406.4</v>
      </c>
      <c r="AS204" s="702">
        <f>AS171</f>
        <v>837.0999999999999</v>
      </c>
      <c r="AT204" s="181">
        <f t="shared" si="66"/>
        <v>-37.50000000000006</v>
      </c>
      <c r="AU204" s="182">
        <f t="shared" si="67"/>
        <v>20.699999999999818</v>
      </c>
      <c r="AV204" s="167">
        <f>AT204+AU204</f>
        <v>-16.80000000000024</v>
      </c>
      <c r="AW204" s="705">
        <f t="shared" si="73"/>
        <v>1260.3000000000002</v>
      </c>
      <c r="AX204" s="706">
        <f t="shared" si="74"/>
        <v>22.767591003522718</v>
      </c>
      <c r="AY204" s="717">
        <f t="shared" si="75"/>
        <v>758.4000000000001</v>
      </c>
      <c r="AZ204" s="718">
        <v>793.7</v>
      </c>
      <c r="BA204" s="719">
        <f t="shared" si="76"/>
        <v>14.33836148496071</v>
      </c>
      <c r="BB204" s="710"/>
      <c r="BD204" s="720">
        <f t="shared" si="77"/>
        <v>2.1745205479452054</v>
      </c>
      <c r="BE204" s="721">
        <f t="shared" si="85"/>
        <v>3.452876712328768</v>
      </c>
      <c r="BF204" s="110">
        <f>(6.4-1.3)*365</f>
        <v>1861.5000000000002</v>
      </c>
      <c r="BG204" s="718">
        <f t="shared" si="78"/>
        <v>-1067.8000000000002</v>
      </c>
      <c r="BH204" s="332">
        <f t="shared" si="86"/>
        <v>-601.2</v>
      </c>
      <c r="BI204" s="122">
        <f t="shared" si="79"/>
        <v>1509.6818181818185</v>
      </c>
      <c r="BJ204" s="719">
        <f t="shared" si="80"/>
        <v>-715.9818181818184</v>
      </c>
      <c r="BK204" s="332">
        <f t="shared" si="81"/>
        <v>-249.3818181818183</v>
      </c>
      <c r="BL204" s="80">
        <f>Z170</f>
        <v>328.8</v>
      </c>
      <c r="BO204" s="715">
        <f t="shared" si="82"/>
        <v>1243.5</v>
      </c>
      <c r="BP204" s="160">
        <f t="shared" si="87"/>
        <v>1260.3000000000002</v>
      </c>
      <c r="BQ204" s="617">
        <f>'[1]2007 зміни'!AP297</f>
        <v>1260.3000000000002</v>
      </c>
      <c r="BR204" s="715"/>
      <c r="BS204" s="133">
        <f>BS171</f>
        <v>386.9</v>
      </c>
      <c r="BT204" s="133">
        <f>BT171</f>
        <v>337.9</v>
      </c>
      <c r="BU204" s="133">
        <f>BU171</f>
        <v>78.19999999999999</v>
      </c>
      <c r="BV204" s="190">
        <f t="shared" si="83"/>
        <v>1243.5</v>
      </c>
      <c r="BW204" s="190"/>
    </row>
    <row r="205" spans="1:75" s="80" customFormat="1" ht="29.25" customHeight="1">
      <c r="A205" s="110"/>
      <c r="B205" s="111"/>
      <c r="C205" s="112"/>
      <c r="D205" s="693"/>
      <c r="E205" s="110"/>
      <c r="F205" s="694" t="s">
        <v>212</v>
      </c>
      <c r="G205" s="695"/>
      <c r="H205" s="695"/>
      <c r="I205" s="695"/>
      <c r="J205" s="695"/>
      <c r="K205" s="697">
        <f>K190</f>
        <v>333.5</v>
      </c>
      <c r="L205" s="697">
        <f>L190</f>
        <v>100</v>
      </c>
      <c r="M205" s="695"/>
      <c r="N205" s="695"/>
      <c r="O205" s="695"/>
      <c r="P205" s="695"/>
      <c r="Q205" s="698">
        <f>Q190</f>
        <v>325.3</v>
      </c>
      <c r="R205" s="698">
        <f>R190</f>
        <v>100</v>
      </c>
      <c r="S205" s="699">
        <f t="shared" si="68"/>
        <v>433.5</v>
      </c>
      <c r="T205" s="700"/>
      <c r="U205" s="701"/>
      <c r="V205" s="700"/>
      <c r="W205" s="701"/>
      <c r="X205" s="702">
        <f aca="true" t="shared" si="90" ref="X205:AC205">X190</f>
        <v>194.2</v>
      </c>
      <c r="Y205" s="702"/>
      <c r="Z205" s="702">
        <f t="shared" si="90"/>
        <v>231.1</v>
      </c>
      <c r="AA205" s="167">
        <f t="shared" si="90"/>
        <v>-131.1</v>
      </c>
      <c r="AB205" s="167">
        <f t="shared" si="90"/>
        <v>131.10000000000002</v>
      </c>
      <c r="AC205" s="167">
        <f t="shared" si="90"/>
        <v>0</v>
      </c>
      <c r="AD205" s="703"/>
      <c r="AE205" s="704">
        <f t="shared" si="70"/>
        <v>433.5</v>
      </c>
      <c r="AF205" s="190">
        <f t="shared" si="71"/>
        <v>0</v>
      </c>
      <c r="AG205" s="190"/>
      <c r="AH205" s="190"/>
      <c r="AI205" s="174"/>
      <c r="AJ205" s="174"/>
      <c r="AM205" s="175">
        <f t="shared" si="72"/>
        <v>194.2</v>
      </c>
      <c r="AN205" s="122"/>
      <c r="AO205" s="419"/>
      <c r="AP205" s="123"/>
      <c r="AQ205" s="657"/>
      <c r="AR205" s="702">
        <f>AR190</f>
        <v>187.8</v>
      </c>
      <c r="AS205" s="702">
        <f>AS190</f>
        <v>233.90000000000003</v>
      </c>
      <c r="AT205" s="181">
        <f t="shared" si="66"/>
        <v>-6.399999999999977</v>
      </c>
      <c r="AU205" s="182">
        <f t="shared" si="67"/>
        <v>2.80000000000004</v>
      </c>
      <c r="AV205" s="167">
        <f>AT205+AU205</f>
        <v>-3.5999999999999375</v>
      </c>
      <c r="AW205" s="705">
        <f t="shared" si="73"/>
        <v>425.29999999999995</v>
      </c>
      <c r="AX205" s="706">
        <f t="shared" si="74"/>
        <v>7.683136121398247</v>
      </c>
      <c r="AY205" s="717">
        <f t="shared" si="75"/>
        <v>425.29999999999995</v>
      </c>
      <c r="AZ205" s="718">
        <v>425.3</v>
      </c>
      <c r="BA205" s="719">
        <f t="shared" si="76"/>
        <v>7.683136121398249</v>
      </c>
      <c r="BB205" s="710"/>
      <c r="BD205" s="720">
        <f t="shared" si="77"/>
        <v>1.1652054794520548</v>
      </c>
      <c r="BE205" s="721">
        <f t="shared" si="85"/>
        <v>1.1652054794520548</v>
      </c>
      <c r="BF205" s="110">
        <f>2.1*365</f>
        <v>766.5</v>
      </c>
      <c r="BG205" s="718">
        <f t="shared" si="78"/>
        <v>-341.2</v>
      </c>
      <c r="BH205" s="332">
        <f t="shared" si="86"/>
        <v>-341.20000000000005</v>
      </c>
      <c r="BI205" s="122">
        <f t="shared" si="79"/>
        <v>621.6336898395722</v>
      </c>
      <c r="BJ205" s="719">
        <f t="shared" si="80"/>
        <v>-196.33368983957217</v>
      </c>
      <c r="BK205" s="332">
        <f t="shared" si="81"/>
        <v>-196.33368983957223</v>
      </c>
      <c r="BL205" s="80">
        <f>Z189</f>
        <v>72.5</v>
      </c>
      <c r="BO205" s="715">
        <f t="shared" si="82"/>
        <v>421.70000000000005</v>
      </c>
      <c r="BP205" s="160">
        <f t="shared" si="87"/>
        <v>425.29999999999995</v>
      </c>
      <c r="BQ205" s="617">
        <f>'[1]2007 зміни'!AP298</f>
        <v>425.29999999999995</v>
      </c>
      <c r="BR205" s="715"/>
      <c r="BS205" s="133">
        <f>BS190</f>
        <v>118.2</v>
      </c>
      <c r="BT205" s="133">
        <f>BT190</f>
        <v>69.3</v>
      </c>
      <c r="BU205" s="133">
        <f>BU190</f>
        <v>46.4</v>
      </c>
      <c r="BV205" s="190">
        <f t="shared" si="83"/>
        <v>421.70000000000005</v>
      </c>
      <c r="BW205" s="190"/>
    </row>
    <row r="206" spans="1:75" s="80" customFormat="1" ht="28.5" customHeight="1">
      <c r="A206" s="110"/>
      <c r="B206" s="111"/>
      <c r="C206" s="112"/>
      <c r="D206" s="693"/>
      <c r="E206" s="110"/>
      <c r="F206" s="694" t="s">
        <v>255</v>
      </c>
      <c r="G206" s="695"/>
      <c r="H206" s="695"/>
      <c r="I206" s="695"/>
      <c r="J206" s="695"/>
      <c r="K206" s="697">
        <f>K194</f>
        <v>0</v>
      </c>
      <c r="L206" s="697">
        <f>L194</f>
        <v>480</v>
      </c>
      <c r="M206" s="695"/>
      <c r="N206" s="695"/>
      <c r="O206" s="695"/>
      <c r="P206" s="695"/>
      <c r="Q206" s="698">
        <f>Q194</f>
        <v>0</v>
      </c>
      <c r="R206" s="698">
        <f>R194</f>
        <v>480</v>
      </c>
      <c r="S206" s="699">
        <f t="shared" si="68"/>
        <v>480</v>
      </c>
      <c r="T206" s="700"/>
      <c r="U206" s="701"/>
      <c r="V206" s="700"/>
      <c r="W206" s="701"/>
      <c r="X206" s="702">
        <f aca="true" t="shared" si="91" ref="X206:AC206">X194</f>
        <v>0</v>
      </c>
      <c r="Y206" s="702">
        <f t="shared" si="91"/>
        <v>0</v>
      </c>
      <c r="Z206" s="702">
        <f t="shared" si="91"/>
        <v>495</v>
      </c>
      <c r="AA206" s="167">
        <f t="shared" si="91"/>
        <v>0</v>
      </c>
      <c r="AB206" s="167">
        <f t="shared" si="91"/>
        <v>15</v>
      </c>
      <c r="AC206" s="167">
        <f t="shared" si="91"/>
        <v>15</v>
      </c>
      <c r="AD206" s="703"/>
      <c r="AE206" s="704">
        <f t="shared" si="70"/>
        <v>480</v>
      </c>
      <c r="AF206" s="190">
        <f t="shared" si="71"/>
        <v>0</v>
      </c>
      <c r="AG206" s="190"/>
      <c r="AH206" s="190"/>
      <c r="AI206" s="174"/>
      <c r="AJ206" s="174"/>
      <c r="AM206" s="175">
        <f t="shared" si="72"/>
        <v>0</v>
      </c>
      <c r="AN206" s="122"/>
      <c r="AO206" s="419"/>
      <c r="AP206" s="123"/>
      <c r="AQ206" s="657"/>
      <c r="AR206" s="702">
        <f>AR193</f>
        <v>18.8</v>
      </c>
      <c r="AS206" s="702">
        <f>AS194</f>
        <v>428.2</v>
      </c>
      <c r="AT206" s="181">
        <f t="shared" si="66"/>
        <v>18.8</v>
      </c>
      <c r="AU206" s="182">
        <f t="shared" si="67"/>
        <v>-66.80000000000001</v>
      </c>
      <c r="AV206" s="167">
        <f>AT206+AU206</f>
        <v>-48.000000000000014</v>
      </c>
      <c r="AW206" s="705">
        <f t="shared" si="73"/>
        <v>495</v>
      </c>
      <c r="AX206" s="706">
        <f t="shared" si="74"/>
        <v>8.942281636708518</v>
      </c>
      <c r="AY206" s="717">
        <f t="shared" si="75"/>
        <v>480</v>
      </c>
      <c r="AZ206" s="718">
        <v>480</v>
      </c>
      <c r="BA206" s="719">
        <f t="shared" si="76"/>
        <v>8.67130340529311</v>
      </c>
      <c r="BB206" s="710"/>
      <c r="BD206" s="720">
        <f t="shared" si="77"/>
        <v>1.3150684931506849</v>
      </c>
      <c r="BE206" s="721">
        <f t="shared" si="85"/>
        <v>1.356164383561644</v>
      </c>
      <c r="BF206" s="110">
        <f>1.3*365</f>
        <v>474.5</v>
      </c>
      <c r="BG206" s="718">
        <f t="shared" si="78"/>
        <v>5.5</v>
      </c>
      <c r="BH206" s="332">
        <f t="shared" si="86"/>
        <v>20.5</v>
      </c>
      <c r="BI206" s="122">
        <f t="shared" si="79"/>
        <v>384.82085561497325</v>
      </c>
      <c r="BJ206" s="719">
        <f t="shared" si="80"/>
        <v>95.17914438502675</v>
      </c>
      <c r="BK206" s="332">
        <f t="shared" si="81"/>
        <v>110.17914438502675</v>
      </c>
      <c r="BO206" s="715">
        <f t="shared" si="82"/>
        <v>447</v>
      </c>
      <c r="BP206" s="160">
        <f t="shared" si="87"/>
        <v>495</v>
      </c>
      <c r="BQ206" s="617">
        <f>'[1]2007 зміни'!AP299</f>
        <v>495</v>
      </c>
      <c r="BR206" s="715"/>
      <c r="BS206" s="133"/>
      <c r="BT206" s="134"/>
      <c r="BU206" s="135"/>
      <c r="BV206" s="190">
        <f t="shared" si="83"/>
        <v>447</v>
      </c>
      <c r="BW206" s="190"/>
    </row>
    <row r="207" spans="1:75" s="80" customFormat="1" ht="34.5" customHeight="1">
      <c r="A207" s="110"/>
      <c r="B207" s="111"/>
      <c r="C207" s="112"/>
      <c r="D207" s="723"/>
      <c r="E207" s="724"/>
      <c r="F207" s="723" t="s">
        <v>271</v>
      </c>
      <c r="G207" s="725"/>
      <c r="H207" s="725"/>
      <c r="I207" s="725"/>
      <c r="J207" s="725"/>
      <c r="K207" s="726">
        <f>SUM(K201:K206)</f>
        <v>2243.0299999999997</v>
      </c>
      <c r="L207" s="726">
        <f>SUM(L201:L206)</f>
        <v>3079.2000000000003</v>
      </c>
      <c r="M207" s="727"/>
      <c r="N207" s="727"/>
      <c r="O207" s="727"/>
      <c r="P207" s="727"/>
      <c r="Q207" s="728">
        <f>SUM(Q201:Q206)</f>
        <v>2364.7</v>
      </c>
      <c r="R207" s="728">
        <f>SUM(R201:R206)</f>
        <v>3135.5</v>
      </c>
      <c r="S207" s="728">
        <f t="shared" si="68"/>
        <v>5322.23</v>
      </c>
      <c r="T207" s="729"/>
      <c r="U207" s="730"/>
      <c r="V207" s="731"/>
      <c r="W207" s="730"/>
      <c r="X207" s="732">
        <f>SUM(X201:X206)</f>
        <v>2399.9999999999995</v>
      </c>
      <c r="Y207" s="733" t="e">
        <f>SUM(Y201:Y206)</f>
        <v>#VALUE!</v>
      </c>
      <c r="Z207" s="732">
        <f>SUM(Z201:Z206)</f>
        <v>3135.5</v>
      </c>
      <c r="AA207" s="732"/>
      <c r="AB207" s="732">
        <f>SUM(AB201:AB206)</f>
        <v>0</v>
      </c>
      <c r="AC207" s="732"/>
      <c r="AD207" s="734"/>
      <c r="AE207" s="735">
        <f t="shared" si="70"/>
        <v>5322.23</v>
      </c>
      <c r="AF207" s="736">
        <f t="shared" si="71"/>
        <v>-56.29999999999973</v>
      </c>
      <c r="AG207" s="736"/>
      <c r="AH207" s="736"/>
      <c r="AI207" s="737"/>
      <c r="AJ207" s="737"/>
      <c r="AK207" s="737"/>
      <c r="AL207" s="737"/>
      <c r="AM207" s="738" t="e">
        <f t="shared" si="72"/>
        <v>#VALUE!</v>
      </c>
      <c r="AN207" s="739"/>
      <c r="AO207" s="740"/>
      <c r="AP207" s="672"/>
      <c r="AQ207" s="741"/>
      <c r="AR207" s="732">
        <f aca="true" t="shared" si="92" ref="AR207:AW207">SUM(AR201:AR206)</f>
        <v>2400.016666666667</v>
      </c>
      <c r="AS207" s="732">
        <f t="shared" si="92"/>
        <v>3135.5</v>
      </c>
      <c r="AT207" s="732">
        <f t="shared" si="92"/>
        <v>0.01666666666665506</v>
      </c>
      <c r="AU207" s="732">
        <f t="shared" si="92"/>
        <v>0</v>
      </c>
      <c r="AV207" s="732">
        <f t="shared" si="92"/>
        <v>0.016666666666566243</v>
      </c>
      <c r="AW207" s="705">
        <f t="shared" si="92"/>
        <v>5535.500000000001</v>
      </c>
      <c r="AX207" s="115"/>
      <c r="AY207" s="717">
        <f>SUM(AY201:AY206)</f>
        <v>5500.2</v>
      </c>
      <c r="AZ207" s="720">
        <f>SUM(AZ201:AZ206)</f>
        <v>5535.5</v>
      </c>
      <c r="BA207" s="718"/>
      <c r="BB207" s="742"/>
      <c r="BD207" s="718"/>
      <c r="BE207" s="560">
        <f t="shared" si="85"/>
        <v>15.165753424657536</v>
      </c>
      <c r="BF207" s="572">
        <f>SUM(BF201:BF206)</f>
        <v>6825.5</v>
      </c>
      <c r="BG207" s="743">
        <f t="shared" si="78"/>
        <v>-1290</v>
      </c>
      <c r="BH207" s="615">
        <f t="shared" si="86"/>
        <v>-1289.999999999999</v>
      </c>
      <c r="BI207" s="572">
        <f>SUM(BI201:BI206)</f>
        <v>5535.499999999999</v>
      </c>
      <c r="BJ207" s="743">
        <f>SUM(BJ201:BJ206)</f>
        <v>-2.2737367544323206E-13</v>
      </c>
      <c r="BK207" s="615">
        <f>SUM(BK201:BK206)</f>
        <v>1.7053025658242404E-13</v>
      </c>
      <c r="BO207" s="715">
        <f t="shared" si="82"/>
        <v>5535.516666666666</v>
      </c>
      <c r="BP207" s="160">
        <f t="shared" si="87"/>
        <v>5535.5</v>
      </c>
      <c r="BQ207" s="617">
        <f>'[1]2007 зміни'!AP300</f>
        <v>5535.5</v>
      </c>
      <c r="BR207" s="715"/>
      <c r="BS207" s="732">
        <f>SUM(BS201:BS206)</f>
        <v>878.5</v>
      </c>
      <c r="BT207" s="732">
        <f>SUM(BT201:BT206)</f>
        <v>1276.8999999999999</v>
      </c>
      <c r="BU207" s="732">
        <f>SUM(BU201:BU206)</f>
        <v>541.8000000000001</v>
      </c>
      <c r="BV207" s="190">
        <f t="shared" si="83"/>
        <v>5535.516666666666</v>
      </c>
      <c r="BW207" s="190"/>
    </row>
    <row r="208" spans="2:73" s="445" customFormat="1" ht="21" customHeight="1">
      <c r="B208" s="744"/>
      <c r="C208" s="744"/>
      <c r="D208" s="745"/>
      <c r="E208" s="746"/>
      <c r="F208" s="747"/>
      <c r="G208" s="745"/>
      <c r="H208" s="745"/>
      <c r="I208" s="745"/>
      <c r="J208" s="745"/>
      <c r="K208" s="748"/>
      <c r="L208" s="748"/>
      <c r="M208" s="745"/>
      <c r="N208" s="749"/>
      <c r="O208" s="749"/>
      <c r="P208" s="749"/>
      <c r="Q208" s="750"/>
      <c r="R208" s="751"/>
      <c r="S208" s="752"/>
      <c r="T208" s="753"/>
      <c r="U208" s="754"/>
      <c r="V208" s="753"/>
      <c r="W208" s="754"/>
      <c r="X208" s="755"/>
      <c r="Y208" s="756" t="e">
        <f>X207-Y207</f>
        <v>#VALUE!</v>
      </c>
      <c r="Z208" s="757"/>
      <c r="AA208" s="757"/>
      <c r="AB208" s="757"/>
      <c r="AC208" s="757"/>
      <c r="AD208" s="451"/>
      <c r="AE208" s="451"/>
      <c r="AI208" s="452"/>
      <c r="AJ208" s="452"/>
      <c r="AM208" s="758"/>
      <c r="AN208" s="758"/>
      <c r="AO208" s="759"/>
      <c r="AP208" s="760"/>
      <c r="AQ208" s="761"/>
      <c r="AR208" s="762"/>
      <c r="AS208" s="763"/>
      <c r="AT208" s="760"/>
      <c r="AU208" s="760"/>
      <c r="AV208" s="760"/>
      <c r="BO208" s="763"/>
      <c r="BP208" s="764"/>
      <c r="BQ208" s="765"/>
      <c r="BR208" s="765"/>
      <c r="BS208" s="454"/>
      <c r="BT208" s="455"/>
      <c r="BU208" s="456"/>
    </row>
    <row r="209" spans="1:69" ht="18.75" customHeight="1" hidden="1">
      <c r="A209" s="766"/>
      <c r="B209" s="767"/>
      <c r="C209" s="768"/>
      <c r="D209" s="769" t="s">
        <v>272</v>
      </c>
      <c r="E209" s="770"/>
      <c r="F209" s="771"/>
      <c r="G209" s="772"/>
      <c r="H209" s="773"/>
      <c r="I209" s="774"/>
      <c r="J209" s="773"/>
      <c r="K209" s="773"/>
      <c r="L209" s="775"/>
      <c r="T209" s="776"/>
      <c r="U209" s="777"/>
      <c r="V209" s="776"/>
      <c r="W209" s="777"/>
      <c r="X209" s="778"/>
      <c r="Y209" s="779"/>
      <c r="Z209" s="780"/>
      <c r="AA209" s="780"/>
      <c r="AB209" s="780"/>
      <c r="AC209" s="780"/>
      <c r="BO209" s="358"/>
      <c r="BP209" s="651"/>
      <c r="BQ209" s="358"/>
    </row>
    <row r="210" spans="1:69" ht="15.75" customHeight="1" hidden="1">
      <c r="A210" s="112"/>
      <c r="B210" s="781"/>
      <c r="C210" s="782"/>
      <c r="D210" s="783" t="s">
        <v>261</v>
      </c>
      <c r="E210" s="784"/>
      <c r="F210" s="785"/>
      <c r="G210" s="772"/>
      <c r="H210" s="786"/>
      <c r="I210" s="772"/>
      <c r="J210" s="787"/>
      <c r="K210" s="787"/>
      <c r="L210" s="788">
        <f>SUM(L211:L228)</f>
        <v>0</v>
      </c>
      <c r="R210" s="789">
        <f>SUM(R211:R228)</f>
        <v>341.4</v>
      </c>
      <c r="S210" s="790">
        <f>SUM(S211:S228)</f>
        <v>341.4</v>
      </c>
      <c r="T210" s="791"/>
      <c r="U210" s="792"/>
      <c r="V210" s="791"/>
      <c r="W210" s="792"/>
      <c r="X210" s="793"/>
      <c r="Y210" s="794"/>
      <c r="Z210" s="793"/>
      <c r="AA210" s="793"/>
      <c r="AB210" s="793"/>
      <c r="AC210" s="793"/>
      <c r="AD210" s="795"/>
      <c r="BO210" s="358"/>
      <c r="BP210" s="651"/>
      <c r="BQ210" s="358"/>
    </row>
    <row r="211" spans="1:69" ht="60" customHeight="1" hidden="1">
      <c r="A211" s="112" t="s">
        <v>333</v>
      </c>
      <c r="B211" s="337"/>
      <c r="C211" s="796"/>
      <c r="D211" s="797" t="s">
        <v>494</v>
      </c>
      <c r="E211" s="354" t="s">
        <v>273</v>
      </c>
      <c r="F211" s="785"/>
      <c r="G211" s="339"/>
      <c r="H211" s="340"/>
      <c r="I211" s="339"/>
      <c r="J211" s="798"/>
      <c r="K211" s="798"/>
      <c r="L211" s="342"/>
      <c r="M211" s="339" t="s">
        <v>330</v>
      </c>
      <c r="N211" s="269">
        <v>20</v>
      </c>
      <c r="O211" s="343" t="s">
        <v>274</v>
      </c>
      <c r="P211" s="799">
        <v>24</v>
      </c>
      <c r="Q211" s="800"/>
      <c r="R211" s="334">
        <f aca="true" t="shared" si="93" ref="R211:R227">ROUND(N211*P211/60,1)</f>
        <v>8</v>
      </c>
      <c r="T211" s="776"/>
      <c r="U211" s="777"/>
      <c r="V211" s="776"/>
      <c r="W211" s="777"/>
      <c r="X211" s="778"/>
      <c r="Y211" s="779"/>
      <c r="Z211" s="780"/>
      <c r="AA211" s="780"/>
      <c r="AB211" s="780"/>
      <c r="AC211" s="780"/>
      <c r="BO211" s="358"/>
      <c r="BP211" s="651"/>
      <c r="BQ211" s="358"/>
    </row>
    <row r="212" spans="1:69" ht="36" customHeight="1" hidden="1">
      <c r="A212" s="337" t="s">
        <v>333</v>
      </c>
      <c r="B212" s="337"/>
      <c r="C212" s="796"/>
      <c r="D212" s="797" t="s">
        <v>498</v>
      </c>
      <c r="E212" s="801" t="s">
        <v>499</v>
      </c>
      <c r="F212" s="785"/>
      <c r="G212" s="339"/>
      <c r="H212" s="340"/>
      <c r="I212" s="339"/>
      <c r="J212" s="798"/>
      <c r="K212" s="798"/>
      <c r="L212" s="342"/>
      <c r="M212" s="339" t="s">
        <v>330</v>
      </c>
      <c r="N212" s="269">
        <v>7</v>
      </c>
      <c r="O212" s="343" t="s">
        <v>500</v>
      </c>
      <c r="P212" s="799">
        <f>5*4*9+22</f>
        <v>202</v>
      </c>
      <c r="Q212" s="800"/>
      <c r="R212" s="334">
        <f t="shared" si="93"/>
        <v>23.6</v>
      </c>
      <c r="T212" s="776"/>
      <c r="U212" s="777"/>
      <c r="V212" s="776"/>
      <c r="W212" s="777"/>
      <c r="X212" s="778"/>
      <c r="Y212" s="779"/>
      <c r="Z212" s="780"/>
      <c r="AA212" s="780"/>
      <c r="AB212" s="780"/>
      <c r="AC212" s="780"/>
      <c r="BO212" s="358"/>
      <c r="BP212" s="651"/>
      <c r="BQ212" s="358"/>
    </row>
    <row r="213" spans="1:69" ht="36" customHeight="1" hidden="1">
      <c r="A213" s="337" t="s">
        <v>333</v>
      </c>
      <c r="B213" s="337"/>
      <c r="C213" s="796"/>
      <c r="D213" s="797" t="s">
        <v>503</v>
      </c>
      <c r="E213" s="352" t="s">
        <v>275</v>
      </c>
      <c r="F213" s="785"/>
      <c r="G213" s="339"/>
      <c r="H213" s="340"/>
      <c r="I213" s="339"/>
      <c r="J213" s="353"/>
      <c r="K213" s="353"/>
      <c r="L213" s="342"/>
      <c r="M213" s="339" t="s">
        <v>330</v>
      </c>
      <c r="N213" s="269">
        <v>25</v>
      </c>
      <c r="O213" s="343" t="s">
        <v>397</v>
      </c>
      <c r="P213" s="269">
        <v>46</v>
      </c>
      <c r="Q213" s="187"/>
      <c r="R213" s="334">
        <f t="shared" si="93"/>
        <v>19.2</v>
      </c>
      <c r="T213" s="776"/>
      <c r="U213" s="777"/>
      <c r="V213" s="776"/>
      <c r="W213" s="777"/>
      <c r="X213" s="778"/>
      <c r="Y213" s="779"/>
      <c r="Z213" s="780"/>
      <c r="AA213" s="780"/>
      <c r="AB213" s="780"/>
      <c r="AC213" s="780"/>
      <c r="BO213" s="358"/>
      <c r="BP213" s="651"/>
      <c r="BQ213" s="358"/>
    </row>
    <row r="214" spans="1:69" ht="36" customHeight="1" hidden="1">
      <c r="A214" s="337" t="s">
        <v>333</v>
      </c>
      <c r="B214" s="337"/>
      <c r="C214" s="796"/>
      <c r="D214" s="797" t="s">
        <v>506</v>
      </c>
      <c r="E214" s="354" t="s">
        <v>507</v>
      </c>
      <c r="F214" s="785"/>
      <c r="G214" s="339"/>
      <c r="H214" s="340"/>
      <c r="I214" s="339"/>
      <c r="J214" s="353"/>
      <c r="K214" s="353"/>
      <c r="L214" s="342"/>
      <c r="M214" s="339" t="s">
        <v>330</v>
      </c>
      <c r="N214" s="269">
        <v>25</v>
      </c>
      <c r="O214" s="343" t="s">
        <v>397</v>
      </c>
      <c r="P214" s="269">
        <v>46</v>
      </c>
      <c r="Q214" s="187"/>
      <c r="R214" s="334">
        <f t="shared" si="93"/>
        <v>19.2</v>
      </c>
      <c r="T214" s="776"/>
      <c r="U214" s="777"/>
      <c r="V214" s="776"/>
      <c r="W214" s="777"/>
      <c r="X214" s="778"/>
      <c r="Y214" s="779"/>
      <c r="Z214" s="780"/>
      <c r="AA214" s="780"/>
      <c r="AB214" s="780"/>
      <c r="AC214" s="780"/>
      <c r="BO214" s="358"/>
      <c r="BP214" s="651"/>
      <c r="BQ214" s="358"/>
    </row>
    <row r="215" spans="1:69" ht="84" customHeight="1" hidden="1">
      <c r="A215" s="337" t="s">
        <v>333</v>
      </c>
      <c r="B215" s="337"/>
      <c r="C215" s="796"/>
      <c r="D215" s="797" t="s">
        <v>510</v>
      </c>
      <c r="E215" s="354" t="s">
        <v>511</v>
      </c>
      <c r="F215" s="785"/>
      <c r="G215" s="339"/>
      <c r="H215" s="340"/>
      <c r="I215" s="339"/>
      <c r="J215" s="340"/>
      <c r="K215" s="340"/>
      <c r="L215" s="342"/>
      <c r="M215" s="339" t="s">
        <v>330</v>
      </c>
      <c r="N215" s="269">
        <v>15</v>
      </c>
      <c r="O215" s="343" t="s">
        <v>513</v>
      </c>
      <c r="P215" s="269">
        <v>12</v>
      </c>
      <c r="Q215" s="187"/>
      <c r="R215" s="334">
        <f t="shared" si="93"/>
        <v>3</v>
      </c>
      <c r="T215" s="776"/>
      <c r="U215" s="777"/>
      <c r="V215" s="776"/>
      <c r="W215" s="777"/>
      <c r="X215" s="778"/>
      <c r="Y215" s="779"/>
      <c r="Z215" s="780"/>
      <c r="AA215" s="780"/>
      <c r="AB215" s="780"/>
      <c r="AC215" s="780"/>
      <c r="BO215" s="358"/>
      <c r="BP215" s="651"/>
      <c r="BQ215" s="358"/>
    </row>
    <row r="216" spans="1:69" ht="25.5" customHeight="1" hidden="1">
      <c r="A216" s="337" t="s">
        <v>333</v>
      </c>
      <c r="B216" s="337"/>
      <c r="C216" s="796"/>
      <c r="D216" s="797" t="s">
        <v>514</v>
      </c>
      <c r="E216" s="163"/>
      <c r="F216" s="785"/>
      <c r="G216" s="339"/>
      <c r="H216" s="340"/>
      <c r="I216" s="339"/>
      <c r="J216" s="353"/>
      <c r="K216" s="353"/>
      <c r="L216" s="342"/>
      <c r="M216" s="339" t="s">
        <v>330</v>
      </c>
      <c r="N216" s="269">
        <v>15</v>
      </c>
      <c r="O216" s="343" t="s">
        <v>397</v>
      </c>
      <c r="P216" s="269">
        <v>48</v>
      </c>
      <c r="Q216" s="187"/>
      <c r="R216" s="334">
        <f t="shared" si="93"/>
        <v>12</v>
      </c>
      <c r="T216" s="776"/>
      <c r="U216" s="777"/>
      <c r="V216" s="776"/>
      <c r="W216" s="777"/>
      <c r="X216" s="778"/>
      <c r="Y216" s="779"/>
      <c r="Z216" s="780"/>
      <c r="AA216" s="780"/>
      <c r="AB216" s="780"/>
      <c r="AC216" s="780"/>
      <c r="BO216" s="358"/>
      <c r="BP216" s="651"/>
      <c r="BQ216" s="358"/>
    </row>
    <row r="217" spans="1:69" ht="25.5" customHeight="1" hidden="1">
      <c r="A217" s="337" t="s">
        <v>333</v>
      </c>
      <c r="B217" s="337"/>
      <c r="C217" s="796"/>
      <c r="D217" s="797" t="s">
        <v>517</v>
      </c>
      <c r="E217" s="802" t="s">
        <v>518</v>
      </c>
      <c r="F217" s="803"/>
      <c r="G217" s="339"/>
      <c r="H217" s="340"/>
      <c r="I217" s="339"/>
      <c r="J217" s="353"/>
      <c r="K217" s="353"/>
      <c r="L217" s="342"/>
      <c r="M217" s="339" t="s">
        <v>330</v>
      </c>
      <c r="N217" s="269">
        <v>20</v>
      </c>
      <c r="O217" s="343" t="s">
        <v>513</v>
      </c>
      <c r="P217" s="269">
        <f>9*2+5</f>
        <v>23</v>
      </c>
      <c r="Q217" s="187"/>
      <c r="R217" s="334">
        <f t="shared" si="93"/>
        <v>7.7</v>
      </c>
      <c r="T217" s="776"/>
      <c r="U217" s="777"/>
      <c r="V217" s="776"/>
      <c r="W217" s="777"/>
      <c r="X217" s="778"/>
      <c r="Y217" s="779"/>
      <c r="Z217" s="780"/>
      <c r="AA217" s="780"/>
      <c r="AB217" s="780"/>
      <c r="AC217" s="780"/>
      <c r="BO217" s="358"/>
      <c r="BP217" s="651"/>
      <c r="BQ217" s="358"/>
    </row>
    <row r="218" spans="1:69" ht="36" customHeight="1" hidden="1">
      <c r="A218" s="804" t="s">
        <v>333</v>
      </c>
      <c r="B218" s="804"/>
      <c r="C218" s="805"/>
      <c r="D218" s="806" t="s">
        <v>519</v>
      </c>
      <c r="E218" s="807" t="s">
        <v>276</v>
      </c>
      <c r="F218" s="808"/>
      <c r="G218" s="809"/>
      <c r="H218" s="810"/>
      <c r="I218" s="809"/>
      <c r="J218" s="811"/>
      <c r="K218" s="811"/>
      <c r="L218" s="812"/>
      <c r="M218" s="809" t="s">
        <v>330</v>
      </c>
      <c r="N218" s="269">
        <v>20</v>
      </c>
      <c r="O218" s="343" t="s">
        <v>397</v>
      </c>
      <c r="P218" s="269">
        <v>2</v>
      </c>
      <c r="Q218" s="187"/>
      <c r="R218" s="334">
        <f t="shared" si="93"/>
        <v>0.7</v>
      </c>
      <c r="T218" s="776"/>
      <c r="U218" s="777"/>
      <c r="V218" s="776"/>
      <c r="W218" s="777"/>
      <c r="X218" s="778"/>
      <c r="Y218" s="779"/>
      <c r="Z218" s="780"/>
      <c r="AA218" s="780"/>
      <c r="AB218" s="780"/>
      <c r="AC218" s="780"/>
      <c r="BO218" s="358"/>
      <c r="BP218" s="651"/>
      <c r="BQ218" s="358"/>
    </row>
    <row r="219" spans="1:69" ht="28.5" customHeight="1" hidden="1">
      <c r="A219" s="337" t="s">
        <v>333</v>
      </c>
      <c r="B219" s="337"/>
      <c r="C219" s="796"/>
      <c r="D219" s="797" t="s">
        <v>523</v>
      </c>
      <c r="E219" s="162"/>
      <c r="F219" s="785"/>
      <c r="G219" s="339"/>
      <c r="H219" s="340"/>
      <c r="I219" s="339"/>
      <c r="J219" s="353"/>
      <c r="K219" s="353"/>
      <c r="L219" s="342"/>
      <c r="M219" s="339" t="s">
        <v>330</v>
      </c>
      <c r="N219" s="269">
        <v>15</v>
      </c>
      <c r="O219" s="343" t="s">
        <v>513</v>
      </c>
      <c r="P219" s="269">
        <f>9*2+4</f>
        <v>22</v>
      </c>
      <c r="Q219" s="187"/>
      <c r="R219" s="334">
        <f t="shared" si="93"/>
        <v>5.5</v>
      </c>
      <c r="S219" s="813">
        <f>SUM(R211:R219)</f>
        <v>98.9</v>
      </c>
      <c r="T219" s="814"/>
      <c r="U219" s="777"/>
      <c r="V219" s="814"/>
      <c r="W219" s="777"/>
      <c r="X219" s="815"/>
      <c r="Y219" s="816"/>
      <c r="Z219" s="817"/>
      <c r="AA219" s="817"/>
      <c r="AB219" s="817"/>
      <c r="AC219" s="817"/>
      <c r="AD219" s="557"/>
      <c r="BO219" s="358"/>
      <c r="BP219" s="651"/>
      <c r="BQ219" s="358"/>
    </row>
    <row r="220" spans="1:69" ht="36" customHeight="1" hidden="1">
      <c r="A220" s="337" t="s">
        <v>552</v>
      </c>
      <c r="B220" s="337"/>
      <c r="C220" s="796"/>
      <c r="D220" s="797" t="s">
        <v>11</v>
      </c>
      <c r="E220" s="802" t="s">
        <v>277</v>
      </c>
      <c r="F220" s="785"/>
      <c r="G220" s="339"/>
      <c r="H220" s="340"/>
      <c r="I220" s="339"/>
      <c r="J220" s="353"/>
      <c r="K220" s="353"/>
      <c r="L220" s="342"/>
      <c r="M220" s="339" t="s">
        <v>330</v>
      </c>
      <c r="N220" s="269">
        <v>50</v>
      </c>
      <c r="O220" s="343" t="s">
        <v>397</v>
      </c>
      <c r="P220" s="269">
        <v>52</v>
      </c>
      <c r="Q220" s="187"/>
      <c r="R220" s="334">
        <f t="shared" si="93"/>
        <v>43.3</v>
      </c>
      <c r="S220" s="813">
        <f>R220</f>
        <v>43.3</v>
      </c>
      <c r="T220" s="814"/>
      <c r="U220" s="777"/>
      <c r="V220" s="814"/>
      <c r="W220" s="777"/>
      <c r="X220" s="815"/>
      <c r="Y220" s="816"/>
      <c r="Z220" s="817"/>
      <c r="AA220" s="817"/>
      <c r="AB220" s="817"/>
      <c r="AC220" s="817"/>
      <c r="AD220" s="557"/>
      <c r="BO220" s="358"/>
      <c r="BP220" s="651"/>
      <c r="BQ220" s="358"/>
    </row>
    <row r="221" spans="1:69" ht="51" customHeight="1" hidden="1">
      <c r="A221" s="337" t="s">
        <v>470</v>
      </c>
      <c r="B221" s="337"/>
      <c r="C221" s="796"/>
      <c r="D221" s="797" t="s">
        <v>106</v>
      </c>
      <c r="E221" s="227" t="s">
        <v>107</v>
      </c>
      <c r="F221" s="785"/>
      <c r="G221" s="339"/>
      <c r="H221" s="340"/>
      <c r="I221" s="339"/>
      <c r="J221" s="353"/>
      <c r="K221" s="353"/>
      <c r="L221" s="342"/>
      <c r="M221" s="339" t="s">
        <v>330</v>
      </c>
      <c r="N221" s="269">
        <v>20</v>
      </c>
      <c r="O221" s="343" t="s">
        <v>278</v>
      </c>
      <c r="P221" s="269">
        <v>100</v>
      </c>
      <c r="Q221" s="187"/>
      <c r="R221" s="334">
        <f t="shared" si="93"/>
        <v>33.3</v>
      </c>
      <c r="T221" s="776"/>
      <c r="U221" s="777"/>
      <c r="V221" s="776"/>
      <c r="W221" s="777"/>
      <c r="X221" s="778"/>
      <c r="Y221" s="779"/>
      <c r="Z221" s="780"/>
      <c r="AA221" s="780"/>
      <c r="AB221" s="780"/>
      <c r="AC221" s="780"/>
      <c r="BO221" s="358"/>
      <c r="BP221" s="651"/>
      <c r="BQ221" s="358"/>
    </row>
    <row r="222" spans="1:69" ht="25.5" customHeight="1" hidden="1">
      <c r="A222" s="337" t="s">
        <v>470</v>
      </c>
      <c r="B222" s="337"/>
      <c r="C222" s="796"/>
      <c r="D222" s="797" t="s">
        <v>109</v>
      </c>
      <c r="E222" s="818" t="s">
        <v>279</v>
      </c>
      <c r="F222" s="785"/>
      <c r="G222" s="339"/>
      <c r="H222" s="340"/>
      <c r="I222" s="339"/>
      <c r="J222" s="353"/>
      <c r="K222" s="353"/>
      <c r="L222" s="342"/>
      <c r="M222" s="339" t="s">
        <v>330</v>
      </c>
      <c r="N222" s="269">
        <v>20</v>
      </c>
      <c r="O222" s="343" t="s">
        <v>397</v>
      </c>
      <c r="P222" s="269">
        <v>50</v>
      </c>
      <c r="Q222" s="187"/>
      <c r="R222" s="334">
        <f t="shared" si="93"/>
        <v>16.7</v>
      </c>
      <c r="T222" s="776"/>
      <c r="U222" s="777"/>
      <c r="V222" s="776"/>
      <c r="W222" s="777"/>
      <c r="X222" s="778"/>
      <c r="Y222" s="779"/>
      <c r="Z222" s="780"/>
      <c r="AA222" s="780"/>
      <c r="AB222" s="780"/>
      <c r="AC222" s="780"/>
      <c r="BO222" s="358"/>
      <c r="BP222" s="651"/>
      <c r="BQ222" s="358"/>
    </row>
    <row r="223" spans="1:69" ht="25.5" customHeight="1" hidden="1">
      <c r="A223" s="337" t="s">
        <v>470</v>
      </c>
      <c r="B223" s="337"/>
      <c r="C223" s="796"/>
      <c r="D223" s="797" t="s">
        <v>112</v>
      </c>
      <c r="E223" s="163"/>
      <c r="F223" s="785"/>
      <c r="G223" s="339"/>
      <c r="H223" s="340"/>
      <c r="I223" s="339"/>
      <c r="J223" s="353"/>
      <c r="K223" s="353"/>
      <c r="L223" s="342"/>
      <c r="M223" s="339" t="s">
        <v>330</v>
      </c>
      <c r="N223" s="269">
        <v>5</v>
      </c>
      <c r="O223" s="343" t="s">
        <v>115</v>
      </c>
      <c r="P223" s="269">
        <f>3*9*4+18</f>
        <v>126</v>
      </c>
      <c r="Q223" s="187"/>
      <c r="R223" s="334">
        <f t="shared" si="93"/>
        <v>10.5</v>
      </c>
      <c r="S223" s="813">
        <f>SUM(R221:R223)</f>
        <v>60.5</v>
      </c>
      <c r="T223" s="814"/>
      <c r="U223" s="777"/>
      <c r="V223" s="814"/>
      <c r="W223" s="777"/>
      <c r="X223" s="815"/>
      <c r="Y223" s="816"/>
      <c r="Z223" s="817"/>
      <c r="AA223" s="817"/>
      <c r="AB223" s="817"/>
      <c r="AC223" s="817"/>
      <c r="AD223" s="557"/>
      <c r="BO223" s="358"/>
      <c r="BP223" s="651"/>
      <c r="BQ223" s="358"/>
    </row>
    <row r="224" spans="1:69" ht="72" customHeight="1" hidden="1">
      <c r="A224" s="337" t="s">
        <v>557</v>
      </c>
      <c r="B224" s="337"/>
      <c r="C224" s="796"/>
      <c r="D224" s="797" t="s">
        <v>186</v>
      </c>
      <c r="E224" s="227" t="s">
        <v>187</v>
      </c>
      <c r="F224" s="785"/>
      <c r="G224" s="339"/>
      <c r="H224" s="340"/>
      <c r="I224" s="603"/>
      <c r="J224" s="353"/>
      <c r="K224" s="353"/>
      <c r="L224" s="342"/>
      <c r="M224" s="339" t="s">
        <v>330</v>
      </c>
      <c r="N224" s="269">
        <v>30</v>
      </c>
      <c r="O224" s="343" t="s">
        <v>397</v>
      </c>
      <c r="P224" s="269">
        <v>52</v>
      </c>
      <c r="Q224" s="187"/>
      <c r="R224" s="334">
        <f t="shared" si="93"/>
        <v>26</v>
      </c>
      <c r="T224" s="776"/>
      <c r="U224" s="777"/>
      <c r="V224" s="776"/>
      <c r="W224" s="777"/>
      <c r="X224" s="778"/>
      <c r="Y224" s="779"/>
      <c r="Z224" s="780"/>
      <c r="AA224" s="780"/>
      <c r="AB224" s="780"/>
      <c r="AC224" s="780"/>
      <c r="BO224" s="358"/>
      <c r="BP224" s="651"/>
      <c r="BQ224" s="358"/>
    </row>
    <row r="225" spans="1:69" ht="28.5" customHeight="1" hidden="1">
      <c r="A225" s="337" t="s">
        <v>557</v>
      </c>
      <c r="B225" s="337"/>
      <c r="C225" s="796"/>
      <c r="D225" s="797" t="s">
        <v>280</v>
      </c>
      <c r="E225" s="819" t="s">
        <v>191</v>
      </c>
      <c r="F225" s="785"/>
      <c r="G225" s="339"/>
      <c r="H225" s="340"/>
      <c r="I225" s="339"/>
      <c r="J225" s="353"/>
      <c r="K225" s="353"/>
      <c r="L225" s="342"/>
      <c r="M225" s="339" t="s">
        <v>330</v>
      </c>
      <c r="N225" s="269">
        <v>20</v>
      </c>
      <c r="O225" s="343" t="s">
        <v>397</v>
      </c>
      <c r="P225" s="269">
        <v>50</v>
      </c>
      <c r="Q225" s="187"/>
      <c r="R225" s="334">
        <f t="shared" si="93"/>
        <v>16.7</v>
      </c>
      <c r="T225" s="776"/>
      <c r="U225" s="777"/>
      <c r="V225" s="776"/>
      <c r="W225" s="777"/>
      <c r="X225" s="778"/>
      <c r="Y225" s="779"/>
      <c r="Z225" s="780"/>
      <c r="AA225" s="780"/>
      <c r="AB225" s="780"/>
      <c r="AC225" s="780"/>
      <c r="BO225" s="358"/>
      <c r="BP225" s="651"/>
      <c r="BQ225" s="358"/>
    </row>
    <row r="226" spans="1:69" ht="51" customHeight="1" hidden="1">
      <c r="A226" s="337" t="s">
        <v>557</v>
      </c>
      <c r="B226" s="337"/>
      <c r="C226" s="796"/>
      <c r="D226" s="797" t="s">
        <v>198</v>
      </c>
      <c r="E226" s="352" t="s">
        <v>199</v>
      </c>
      <c r="F226" s="820"/>
      <c r="G226" s="339"/>
      <c r="H226" s="340"/>
      <c r="I226" s="339"/>
      <c r="J226" s="353"/>
      <c r="K226" s="353"/>
      <c r="L226" s="342"/>
      <c r="M226" s="339" t="s">
        <v>330</v>
      </c>
      <c r="N226" s="269">
        <v>50</v>
      </c>
      <c r="O226" s="343" t="s">
        <v>281</v>
      </c>
      <c r="P226" s="269">
        <v>100</v>
      </c>
      <c r="Q226" s="187"/>
      <c r="R226" s="334">
        <f t="shared" si="93"/>
        <v>83.3</v>
      </c>
      <c r="S226" s="813">
        <f>SUM(R224:R226)</f>
        <v>126</v>
      </c>
      <c r="T226" s="814"/>
      <c r="U226" s="777"/>
      <c r="V226" s="814"/>
      <c r="W226" s="777"/>
      <c r="X226" s="815"/>
      <c r="Y226" s="816"/>
      <c r="Z226" s="817"/>
      <c r="AA226" s="817"/>
      <c r="AB226" s="817"/>
      <c r="AC226" s="817"/>
      <c r="AD226" s="557"/>
      <c r="BO226" s="358"/>
      <c r="BP226" s="651"/>
      <c r="BQ226" s="358"/>
    </row>
    <row r="227" spans="1:69" ht="60" customHeight="1" hidden="1">
      <c r="A227" s="337" t="s">
        <v>181</v>
      </c>
      <c r="B227" s="337"/>
      <c r="C227" s="796"/>
      <c r="D227" s="797" t="s">
        <v>248</v>
      </c>
      <c r="E227" s="667" t="s">
        <v>249</v>
      </c>
      <c r="F227" s="821"/>
      <c r="G227" s="339"/>
      <c r="H227" s="340"/>
      <c r="I227" s="339"/>
      <c r="J227" s="353"/>
      <c r="K227" s="353"/>
      <c r="L227" s="342"/>
      <c r="M227" s="339" t="s">
        <v>330</v>
      </c>
      <c r="N227" s="269">
        <v>20</v>
      </c>
      <c r="O227" s="343" t="s">
        <v>397</v>
      </c>
      <c r="P227" s="269">
        <v>10</v>
      </c>
      <c r="Q227" s="187"/>
      <c r="R227" s="334">
        <f t="shared" si="93"/>
        <v>3.3</v>
      </c>
      <c r="T227" s="776"/>
      <c r="U227" s="777"/>
      <c r="V227" s="776"/>
      <c r="W227" s="777"/>
      <c r="X227" s="778"/>
      <c r="Y227" s="779"/>
      <c r="Z227" s="780"/>
      <c r="AA227" s="780"/>
      <c r="AB227" s="780"/>
      <c r="AC227" s="780"/>
      <c r="BO227" s="358"/>
      <c r="BP227" s="651"/>
      <c r="BQ227" s="358"/>
    </row>
    <row r="228" spans="1:69" ht="31.5" customHeight="1" hidden="1">
      <c r="A228" s="337" t="s">
        <v>181</v>
      </c>
      <c r="B228" s="337"/>
      <c r="C228" s="796"/>
      <c r="D228" s="797" t="s">
        <v>251</v>
      </c>
      <c r="E228" s="227" t="s">
        <v>252</v>
      </c>
      <c r="F228" s="2"/>
      <c r="G228" s="339"/>
      <c r="H228" s="655"/>
      <c r="I228" s="339"/>
      <c r="J228" s="353"/>
      <c r="K228" s="353"/>
      <c r="L228" s="342"/>
      <c r="M228" s="339" t="s">
        <v>330</v>
      </c>
      <c r="N228" s="656" t="s">
        <v>254</v>
      </c>
      <c r="O228" s="343" t="s">
        <v>502</v>
      </c>
      <c r="P228" s="269"/>
      <c r="Q228" s="187"/>
      <c r="R228" s="334">
        <v>9.4</v>
      </c>
      <c r="S228" s="813">
        <f>SUM(R227:R228)</f>
        <v>12.7</v>
      </c>
      <c r="T228" s="814"/>
      <c r="U228" s="777"/>
      <c r="V228" s="814"/>
      <c r="W228" s="777"/>
      <c r="X228" s="815"/>
      <c r="Y228" s="816"/>
      <c r="Z228" s="817"/>
      <c r="AA228" s="817"/>
      <c r="AB228" s="817"/>
      <c r="AC228" s="817"/>
      <c r="AD228" s="557"/>
      <c r="BO228" s="358"/>
      <c r="BP228" s="651"/>
      <c r="BQ228" s="358"/>
    </row>
    <row r="229" spans="6:69" ht="14.25" hidden="1">
      <c r="F229" s="2"/>
      <c r="T229" s="776"/>
      <c r="U229" s="777"/>
      <c r="V229" s="776"/>
      <c r="W229" s="777"/>
      <c r="X229" s="778"/>
      <c r="Y229" s="779"/>
      <c r="Z229" s="780"/>
      <c r="AA229" s="780"/>
      <c r="AB229" s="780"/>
      <c r="AC229" s="780"/>
      <c r="BO229" s="358"/>
      <c r="BP229" s="651"/>
      <c r="BQ229" s="358"/>
    </row>
    <row r="230" spans="6:69" ht="14.25" hidden="1">
      <c r="F230" s="2"/>
      <c r="T230" s="776"/>
      <c r="U230" s="777"/>
      <c r="V230" s="776"/>
      <c r="W230" s="777"/>
      <c r="X230" s="778"/>
      <c r="Y230" s="779"/>
      <c r="Z230" s="780"/>
      <c r="AA230" s="780"/>
      <c r="AB230" s="780"/>
      <c r="AC230" s="780"/>
      <c r="BO230" s="358"/>
      <c r="BP230" s="651"/>
      <c r="BQ230" s="358"/>
    </row>
    <row r="231" spans="6:69" ht="14.25" hidden="1">
      <c r="F231" s="2"/>
      <c r="T231" s="776"/>
      <c r="U231" s="777"/>
      <c r="V231" s="776"/>
      <c r="W231" s="777"/>
      <c r="X231" s="778"/>
      <c r="Y231" s="779"/>
      <c r="Z231" s="780"/>
      <c r="AA231" s="780"/>
      <c r="AB231" s="780"/>
      <c r="AC231" s="780"/>
      <c r="BO231" s="358"/>
      <c r="BP231" s="651"/>
      <c r="BQ231" s="358"/>
    </row>
    <row r="232" spans="6:69" ht="14.25" hidden="1">
      <c r="F232" s="2"/>
      <c r="T232" s="776"/>
      <c r="U232" s="777"/>
      <c r="V232" s="776"/>
      <c r="W232" s="777"/>
      <c r="X232" s="778"/>
      <c r="Y232" s="779"/>
      <c r="Z232" s="780"/>
      <c r="AA232" s="780"/>
      <c r="AB232" s="780"/>
      <c r="AC232" s="780"/>
      <c r="BO232" s="358"/>
      <c r="BP232" s="651"/>
      <c r="BQ232" s="358"/>
    </row>
    <row r="233" spans="6:73" ht="14.25">
      <c r="F233" s="2"/>
      <c r="T233" s="776"/>
      <c r="U233" s="777"/>
      <c r="V233" s="776"/>
      <c r="W233" s="777"/>
      <c r="X233" s="778"/>
      <c r="Y233" s="779"/>
      <c r="Z233" s="780"/>
      <c r="AA233" s="780"/>
      <c r="AB233" s="780"/>
      <c r="AC233" s="780"/>
      <c r="BO233" s="40"/>
      <c r="BP233" s="651"/>
      <c r="BQ233" s="358"/>
      <c r="BU233" s="609"/>
    </row>
    <row r="234" spans="4:69" ht="18.75">
      <c r="D234" s="822" t="s">
        <v>282</v>
      </c>
      <c r="E234" s="822"/>
      <c r="F234" s="822" t="s">
        <v>283</v>
      </c>
      <c r="G234" s="822"/>
      <c r="H234" s="822"/>
      <c r="I234" s="822"/>
      <c r="J234" s="822"/>
      <c r="K234" s="822"/>
      <c r="L234" s="822"/>
      <c r="M234" s="822"/>
      <c r="N234" s="822"/>
      <c r="O234" s="822"/>
      <c r="P234" s="822"/>
      <c r="Q234" s="822"/>
      <c r="R234" s="822"/>
      <c r="S234" s="822"/>
      <c r="T234" s="822"/>
      <c r="U234" s="822"/>
      <c r="V234" s="822"/>
      <c r="W234" s="822"/>
      <c r="X234" s="822"/>
      <c r="Y234" s="822"/>
      <c r="Z234" s="822"/>
      <c r="AA234" s="822"/>
      <c r="AB234" s="822"/>
      <c r="AC234" s="822"/>
      <c r="AD234" s="822"/>
      <c r="AE234" s="822"/>
      <c r="AF234" s="822"/>
      <c r="AG234" s="822"/>
      <c r="AH234" s="822"/>
      <c r="AI234" s="822"/>
      <c r="AJ234" s="822"/>
      <c r="AK234" s="822"/>
      <c r="AL234" s="822"/>
      <c r="AM234" s="822"/>
      <c r="AN234" s="822"/>
      <c r="AO234" s="822"/>
      <c r="BO234" s="358"/>
      <c r="BP234" s="651"/>
      <c r="BQ234" s="358"/>
    </row>
    <row r="235" spans="6:69" ht="21" customHeight="1">
      <c r="F235" s="2"/>
      <c r="T235" s="776"/>
      <c r="U235" s="777"/>
      <c r="V235" s="776"/>
      <c r="W235" s="777"/>
      <c r="X235" s="778"/>
      <c r="Y235" s="779"/>
      <c r="Z235" s="780"/>
      <c r="AA235" s="780"/>
      <c r="AB235" s="780"/>
      <c r="AC235" s="780"/>
      <c r="AS235" s="823"/>
      <c r="BO235" s="358"/>
      <c r="BP235" s="651"/>
      <c r="BQ235" s="358"/>
    </row>
    <row r="236" spans="6:69" ht="14.25">
      <c r="F236" s="2"/>
      <c r="T236" s="776"/>
      <c r="U236" s="777"/>
      <c r="V236" s="776"/>
      <c r="W236" s="777"/>
      <c r="X236" s="778"/>
      <c r="Y236" s="779"/>
      <c r="Z236" s="780"/>
      <c r="AA236" s="780"/>
      <c r="AB236" s="780"/>
      <c r="AC236" s="780"/>
      <c r="BO236" s="358"/>
      <c r="BP236" s="651"/>
      <c r="BQ236" s="358"/>
    </row>
    <row r="237" spans="6:69" ht="14.25">
      <c r="F237" s="2"/>
      <c r="T237" s="776"/>
      <c r="U237" s="777"/>
      <c r="V237" s="776"/>
      <c r="W237" s="777"/>
      <c r="X237" s="778"/>
      <c r="Y237" s="779"/>
      <c r="Z237" s="780"/>
      <c r="AA237" s="780"/>
      <c r="AB237" s="780"/>
      <c r="AC237" s="780"/>
      <c r="BO237" s="358"/>
      <c r="BP237" s="651"/>
      <c r="BQ237" s="358"/>
    </row>
    <row r="238" spans="6:29" ht="14.25">
      <c r="F238" s="2"/>
      <c r="T238" s="776"/>
      <c r="U238" s="777"/>
      <c r="V238" s="776"/>
      <c r="W238" s="777"/>
      <c r="X238" s="778"/>
      <c r="Y238" s="779"/>
      <c r="Z238" s="780"/>
      <c r="AA238" s="780"/>
      <c r="AB238" s="780"/>
      <c r="AC238" s="780"/>
    </row>
    <row r="239" spans="6:29" ht="14.25">
      <c r="F239" s="2"/>
      <c r="T239" s="776"/>
      <c r="U239" s="777"/>
      <c r="V239" s="776"/>
      <c r="W239" s="777"/>
      <c r="X239" s="778"/>
      <c r="Y239" s="779"/>
      <c r="Z239" s="780"/>
      <c r="AA239" s="780"/>
      <c r="AB239" s="780"/>
      <c r="AC239" s="780"/>
    </row>
    <row r="240" spans="6:29" ht="14.25">
      <c r="F240" s="2"/>
      <c r="T240" s="776"/>
      <c r="U240" s="777"/>
      <c r="V240" s="776"/>
      <c r="W240" s="777"/>
      <c r="X240" s="778"/>
      <c r="Y240" s="779"/>
      <c r="Z240" s="780"/>
      <c r="AA240" s="780"/>
      <c r="AB240" s="780"/>
      <c r="AC240" s="780"/>
    </row>
    <row r="241" spans="6:29" ht="14.25">
      <c r="F241" s="2"/>
      <c r="T241" s="776"/>
      <c r="U241" s="777"/>
      <c r="V241" s="776"/>
      <c r="W241" s="777"/>
      <c r="X241" s="778"/>
      <c r="Y241" s="779"/>
      <c r="Z241" s="780"/>
      <c r="AA241" s="780"/>
      <c r="AB241" s="780"/>
      <c r="AC241" s="780"/>
    </row>
    <row r="242" spans="6:29" ht="14.25">
      <c r="F242" s="2"/>
      <c r="T242" s="776"/>
      <c r="U242" s="777"/>
      <c r="V242" s="776"/>
      <c r="W242" s="777"/>
      <c r="X242" s="778"/>
      <c r="Y242" s="779"/>
      <c r="Z242" s="780"/>
      <c r="AA242" s="780"/>
      <c r="AB242" s="780"/>
      <c r="AC242" s="780"/>
    </row>
    <row r="243" spans="6:29" ht="14.25">
      <c r="F243" s="2"/>
      <c r="T243" s="776"/>
      <c r="U243" s="777"/>
      <c r="V243" s="776"/>
      <c r="W243" s="777"/>
      <c r="X243" s="778"/>
      <c r="Y243" s="779"/>
      <c r="Z243" s="780"/>
      <c r="AA243" s="780"/>
      <c r="AB243" s="780"/>
      <c r="AC243" s="780"/>
    </row>
    <row r="244" spans="6:29" ht="14.25">
      <c r="F244" s="2"/>
      <c r="T244" s="776"/>
      <c r="U244" s="777"/>
      <c r="V244" s="776"/>
      <c r="W244" s="777"/>
      <c r="X244" s="778"/>
      <c r="Y244" s="779"/>
      <c r="Z244" s="780"/>
      <c r="AA244" s="780"/>
      <c r="AB244" s="780"/>
      <c r="AC244" s="780"/>
    </row>
    <row r="245" spans="6:29" ht="14.25">
      <c r="F245" s="2"/>
      <c r="T245" s="776"/>
      <c r="U245" s="777"/>
      <c r="V245" s="776"/>
      <c r="W245" s="777"/>
      <c r="X245" s="778"/>
      <c r="Y245" s="779"/>
      <c r="Z245" s="780"/>
      <c r="AA245" s="780"/>
      <c r="AB245" s="780"/>
      <c r="AC245" s="780"/>
    </row>
    <row r="246" spans="6:29" ht="14.25">
      <c r="F246" s="2"/>
      <c r="T246" s="776"/>
      <c r="U246" s="777"/>
      <c r="V246" s="776"/>
      <c r="W246" s="777"/>
      <c r="X246" s="778"/>
      <c r="Y246" s="779"/>
      <c r="Z246" s="780"/>
      <c r="AA246" s="780"/>
      <c r="AB246" s="780"/>
      <c r="AC246" s="780"/>
    </row>
    <row r="247" spans="6:29" ht="14.25">
      <c r="F247" s="2"/>
      <c r="T247" s="776"/>
      <c r="U247" s="777"/>
      <c r="V247" s="776"/>
      <c r="W247" s="777"/>
      <c r="X247" s="778"/>
      <c r="Y247" s="779"/>
      <c r="Z247" s="817"/>
      <c r="AA247" s="817"/>
      <c r="AB247" s="817"/>
      <c r="AC247" s="817"/>
    </row>
    <row r="248" spans="6:29" ht="14.25">
      <c r="F248" s="2"/>
      <c r="T248" s="776"/>
      <c r="U248" s="777"/>
      <c r="V248" s="776"/>
      <c r="W248" s="777"/>
      <c r="X248" s="778"/>
      <c r="Y248" s="779"/>
      <c r="Z248" s="780"/>
      <c r="AA248" s="780"/>
      <c r="AB248" s="780"/>
      <c r="AC248" s="780"/>
    </row>
    <row r="249" spans="6:29" ht="14.25">
      <c r="F249" s="2"/>
      <c r="T249" s="776"/>
      <c r="U249" s="777"/>
      <c r="V249" s="776"/>
      <c r="W249" s="777"/>
      <c r="X249" s="778"/>
      <c r="Y249" s="779"/>
      <c r="Z249" s="780"/>
      <c r="AA249" s="780"/>
      <c r="AB249" s="780"/>
      <c r="AC249" s="780"/>
    </row>
    <row r="250" spans="6:29" ht="14.25">
      <c r="F250" s="2"/>
      <c r="T250" s="776"/>
      <c r="U250" s="777"/>
      <c r="V250" s="776"/>
      <c r="W250" s="777"/>
      <c r="X250" s="778"/>
      <c r="Y250" s="779"/>
      <c r="Z250" s="780"/>
      <c r="AA250" s="780"/>
      <c r="AB250" s="780"/>
      <c r="AC250" s="780"/>
    </row>
    <row r="251" spans="6:29" ht="14.25">
      <c r="F251" s="2"/>
      <c r="T251" s="776"/>
      <c r="U251" s="777"/>
      <c r="V251" s="776"/>
      <c r="W251" s="777"/>
      <c r="X251" s="778"/>
      <c r="Y251" s="779"/>
      <c r="Z251" s="780"/>
      <c r="AA251" s="780"/>
      <c r="AB251" s="780"/>
      <c r="AC251" s="780"/>
    </row>
    <row r="252" spans="6:29" ht="14.25">
      <c r="F252" s="2"/>
      <c r="T252" s="776"/>
      <c r="U252" s="777"/>
      <c r="V252" s="776"/>
      <c r="W252" s="777"/>
      <c r="X252" s="778"/>
      <c r="Y252" s="779"/>
      <c r="Z252" s="780"/>
      <c r="AA252" s="780"/>
      <c r="AB252" s="780"/>
      <c r="AC252" s="780"/>
    </row>
    <row r="253" spans="6:29" ht="14.25">
      <c r="F253" s="2"/>
      <c r="T253" s="776"/>
      <c r="U253" s="777"/>
      <c r="V253" s="776"/>
      <c r="W253" s="777"/>
      <c r="X253" s="778"/>
      <c r="Y253" s="779"/>
      <c r="Z253" s="780"/>
      <c r="AA253" s="780"/>
      <c r="AB253" s="780"/>
      <c r="AC253" s="780"/>
    </row>
    <row r="254" spans="6:29" ht="14.25">
      <c r="F254" s="2"/>
      <c r="T254" s="776"/>
      <c r="U254" s="777"/>
      <c r="V254" s="776"/>
      <c r="W254" s="777"/>
      <c r="X254" s="778"/>
      <c r="Y254" s="779"/>
      <c r="Z254" s="780"/>
      <c r="AA254" s="780"/>
      <c r="AB254" s="780"/>
      <c r="AC254" s="780"/>
    </row>
    <row r="255" spans="6:29" ht="14.25">
      <c r="F255" s="2"/>
      <c r="T255" s="776"/>
      <c r="U255" s="777"/>
      <c r="V255" s="776"/>
      <c r="W255" s="777"/>
      <c r="X255" s="778"/>
      <c r="Y255" s="779"/>
      <c r="Z255" s="780"/>
      <c r="AA255" s="780"/>
      <c r="AB255" s="780"/>
      <c r="AC255" s="780"/>
    </row>
    <row r="256" spans="6:29" ht="14.25">
      <c r="F256" s="2"/>
      <c r="T256" s="776"/>
      <c r="U256" s="777"/>
      <c r="V256" s="776"/>
      <c r="W256" s="777"/>
      <c r="X256" s="778"/>
      <c r="Y256" s="779"/>
      <c r="Z256" s="780"/>
      <c r="AA256" s="780"/>
      <c r="AB256" s="780"/>
      <c r="AC256" s="780"/>
    </row>
    <row r="257" spans="6:29" ht="14.25">
      <c r="F257" s="2"/>
      <c r="T257" s="776"/>
      <c r="U257" s="777"/>
      <c r="V257" s="776"/>
      <c r="W257" s="777"/>
      <c r="X257" s="778"/>
      <c r="Y257" s="779"/>
      <c r="Z257" s="780"/>
      <c r="AA257" s="780"/>
      <c r="AB257" s="780"/>
      <c r="AC257" s="780"/>
    </row>
    <row r="258" spans="6:29" ht="14.25">
      <c r="F258" s="2"/>
      <c r="T258" s="776"/>
      <c r="U258" s="777"/>
      <c r="V258" s="776"/>
      <c r="W258" s="777"/>
      <c r="X258" s="778"/>
      <c r="Y258" s="779"/>
      <c r="Z258" s="780"/>
      <c r="AA258" s="780"/>
      <c r="AB258" s="780"/>
      <c r="AC258" s="780"/>
    </row>
    <row r="259" spans="6:29" ht="14.25">
      <c r="F259" s="2"/>
      <c r="T259" s="776"/>
      <c r="U259" s="777"/>
      <c r="V259" s="776"/>
      <c r="W259" s="777"/>
      <c r="X259" s="778"/>
      <c r="Y259" s="779"/>
      <c r="Z259" s="780"/>
      <c r="AA259" s="780"/>
      <c r="AB259" s="780"/>
      <c r="AC259" s="780"/>
    </row>
    <row r="260" spans="6:29" ht="14.25">
      <c r="F260" s="2"/>
      <c r="T260" s="776"/>
      <c r="U260" s="777"/>
      <c r="V260" s="776"/>
      <c r="W260" s="777"/>
      <c r="X260" s="778"/>
      <c r="Y260" s="779"/>
      <c r="Z260" s="780"/>
      <c r="AA260" s="780"/>
      <c r="AB260" s="780"/>
      <c r="AC260" s="780"/>
    </row>
    <row r="261" spans="6:29" ht="14.25">
      <c r="F261" s="2"/>
      <c r="T261" s="776"/>
      <c r="U261" s="777"/>
      <c r="V261" s="776"/>
      <c r="W261" s="777"/>
      <c r="X261" s="778"/>
      <c r="Y261" s="779"/>
      <c r="Z261" s="780"/>
      <c r="AA261" s="780"/>
      <c r="AB261" s="780"/>
      <c r="AC261" s="780"/>
    </row>
    <row r="262" spans="6:29" ht="14.25">
      <c r="F262" s="2"/>
      <c r="T262" s="776"/>
      <c r="U262" s="777"/>
      <c r="V262" s="776"/>
      <c r="W262" s="777"/>
      <c r="X262" s="778"/>
      <c r="Y262" s="779"/>
      <c r="Z262" s="780"/>
      <c r="AA262" s="780"/>
      <c r="AB262" s="780"/>
      <c r="AC262" s="780"/>
    </row>
    <row r="263" spans="6:29" ht="14.25">
      <c r="F263" s="2"/>
      <c r="T263" s="776"/>
      <c r="U263" s="777"/>
      <c r="V263" s="776"/>
      <c r="W263" s="777"/>
      <c r="X263" s="778"/>
      <c r="Y263" s="779"/>
      <c r="Z263" s="780"/>
      <c r="AA263" s="780"/>
      <c r="AB263" s="780"/>
      <c r="AC263" s="780"/>
    </row>
    <row r="264" spans="6:29" ht="14.25">
      <c r="F264" s="2"/>
      <c r="T264" s="776"/>
      <c r="U264" s="777"/>
      <c r="V264" s="776"/>
      <c r="W264" s="777"/>
      <c r="X264" s="778"/>
      <c r="Y264" s="779"/>
      <c r="Z264" s="780"/>
      <c r="AA264" s="780"/>
      <c r="AB264" s="780"/>
      <c r="AC264" s="780"/>
    </row>
    <row r="265" spans="6:29" ht="14.25">
      <c r="F265" s="2"/>
      <c r="T265" s="776"/>
      <c r="U265" s="777"/>
      <c r="V265" s="776"/>
      <c r="W265" s="777"/>
      <c r="X265" s="778"/>
      <c r="Y265" s="779"/>
      <c r="Z265" s="780"/>
      <c r="AA265" s="780"/>
      <c r="AB265" s="780"/>
      <c r="AC265" s="780"/>
    </row>
    <row r="266" spans="6:29" ht="14.25">
      <c r="F266" s="2"/>
      <c r="T266" s="776"/>
      <c r="U266" s="777"/>
      <c r="V266" s="776"/>
      <c r="W266" s="777"/>
      <c r="X266" s="778"/>
      <c r="Y266" s="779"/>
      <c r="Z266" s="780"/>
      <c r="AA266" s="780"/>
      <c r="AB266" s="780"/>
      <c r="AC266" s="780"/>
    </row>
    <row r="267" spans="6:29" ht="14.25">
      <c r="F267" s="2"/>
      <c r="T267" s="776"/>
      <c r="U267" s="777"/>
      <c r="V267" s="776"/>
      <c r="W267" s="777"/>
      <c r="X267" s="778"/>
      <c r="Y267" s="779"/>
      <c r="Z267" s="780"/>
      <c r="AA267" s="780"/>
      <c r="AB267" s="780"/>
      <c r="AC267" s="780"/>
    </row>
    <row r="268" spans="6:29" ht="14.25">
      <c r="F268" s="2"/>
      <c r="T268" s="776"/>
      <c r="U268" s="777"/>
      <c r="V268" s="776"/>
      <c r="W268" s="777"/>
      <c r="X268" s="778"/>
      <c r="Y268" s="779"/>
      <c r="Z268" s="780"/>
      <c r="AA268" s="780"/>
      <c r="AB268" s="780"/>
      <c r="AC268" s="780"/>
    </row>
    <row r="269" spans="6:29" ht="14.25">
      <c r="F269" s="2"/>
      <c r="T269" s="776"/>
      <c r="U269" s="777"/>
      <c r="V269" s="776"/>
      <c r="W269" s="777"/>
      <c r="X269" s="778"/>
      <c r="Y269" s="779"/>
      <c r="Z269" s="780"/>
      <c r="AA269" s="780"/>
      <c r="AB269" s="780"/>
      <c r="AC269" s="780"/>
    </row>
    <row r="270" spans="6:29" ht="14.25">
      <c r="F270" s="2"/>
      <c r="T270" s="776"/>
      <c r="U270" s="777"/>
      <c r="V270" s="776"/>
      <c r="W270" s="777"/>
      <c r="X270" s="778"/>
      <c r="Y270" s="779"/>
      <c r="Z270" s="780"/>
      <c r="AA270" s="780"/>
      <c r="AB270" s="780"/>
      <c r="AC270" s="780"/>
    </row>
    <row r="271" spans="6:29" ht="14.25">
      <c r="F271" s="2"/>
      <c r="T271" s="776"/>
      <c r="U271" s="777"/>
      <c r="V271" s="776"/>
      <c r="W271" s="777"/>
      <c r="X271" s="778"/>
      <c r="Y271" s="779"/>
      <c r="Z271" s="780"/>
      <c r="AA271" s="780"/>
      <c r="AB271" s="780"/>
      <c r="AC271" s="780"/>
    </row>
    <row r="272" spans="6:29" ht="14.25">
      <c r="F272" s="2"/>
      <c r="T272" s="776"/>
      <c r="U272" s="777"/>
      <c r="V272" s="776"/>
      <c r="W272" s="777"/>
      <c r="X272" s="778"/>
      <c r="Y272" s="779"/>
      <c r="Z272" s="780"/>
      <c r="AA272" s="780"/>
      <c r="AB272" s="780"/>
      <c r="AC272" s="780"/>
    </row>
    <row r="273" spans="6:29" ht="14.25">
      <c r="F273" s="2"/>
      <c r="T273" s="776"/>
      <c r="U273" s="777"/>
      <c r="V273" s="776"/>
      <c r="W273" s="777"/>
      <c r="X273" s="778"/>
      <c r="Y273" s="779"/>
      <c r="Z273" s="780"/>
      <c r="AA273" s="780"/>
      <c r="AB273" s="780"/>
      <c r="AC273" s="780"/>
    </row>
    <row r="274" spans="6:29" ht="14.25">
      <c r="F274" s="2"/>
      <c r="T274" s="776"/>
      <c r="U274" s="777"/>
      <c r="V274" s="776"/>
      <c r="W274" s="777"/>
      <c r="X274" s="778"/>
      <c r="Y274" s="779"/>
      <c r="Z274" s="780"/>
      <c r="AA274" s="780"/>
      <c r="AB274" s="780"/>
      <c r="AC274" s="780"/>
    </row>
    <row r="275" spans="6:29" ht="14.25">
      <c r="F275" s="2"/>
      <c r="T275" s="776"/>
      <c r="U275" s="777"/>
      <c r="V275" s="776"/>
      <c r="W275" s="777"/>
      <c r="X275" s="778"/>
      <c r="Y275" s="779"/>
      <c r="Z275" s="780"/>
      <c r="AA275" s="780"/>
      <c r="AB275" s="780"/>
      <c r="AC275" s="780"/>
    </row>
    <row r="276" spans="6:29" ht="14.25">
      <c r="F276" s="2"/>
      <c r="T276" s="776"/>
      <c r="U276" s="777"/>
      <c r="V276" s="776"/>
      <c r="W276" s="777"/>
      <c r="X276" s="778"/>
      <c r="Y276" s="779"/>
      <c r="Z276" s="780"/>
      <c r="AA276" s="780"/>
      <c r="AB276" s="780"/>
      <c r="AC276" s="780"/>
    </row>
    <row r="277" spans="6:29" ht="14.25">
      <c r="F277" s="2"/>
      <c r="T277" s="776"/>
      <c r="U277" s="777"/>
      <c r="V277" s="776"/>
      <c r="W277" s="777"/>
      <c r="X277" s="778"/>
      <c r="Y277" s="779"/>
      <c r="Z277" s="780"/>
      <c r="AA277" s="780"/>
      <c r="AB277" s="780"/>
      <c r="AC277" s="780"/>
    </row>
    <row r="278" spans="6:29" ht="14.25">
      <c r="F278" s="2"/>
      <c r="T278" s="776"/>
      <c r="U278" s="777"/>
      <c r="V278" s="776"/>
      <c r="W278" s="777"/>
      <c r="X278" s="778"/>
      <c r="Y278" s="779"/>
      <c r="Z278" s="780"/>
      <c r="AA278" s="780"/>
      <c r="AB278" s="780"/>
      <c r="AC278" s="780"/>
    </row>
    <row r="279" spans="6:29" ht="14.25">
      <c r="F279" s="2"/>
      <c r="T279" s="776"/>
      <c r="U279" s="777"/>
      <c r="V279" s="776"/>
      <c r="W279" s="777"/>
      <c r="X279" s="778"/>
      <c r="Y279" s="779"/>
      <c r="Z279" s="780"/>
      <c r="AA279" s="780"/>
      <c r="AB279" s="780"/>
      <c r="AC279" s="780"/>
    </row>
    <row r="280" spans="6:29" ht="14.25">
      <c r="F280" s="2"/>
      <c r="T280" s="776"/>
      <c r="U280" s="777"/>
      <c r="V280" s="776"/>
      <c r="W280" s="777"/>
      <c r="X280" s="778"/>
      <c r="Y280" s="779"/>
      <c r="Z280" s="780"/>
      <c r="AA280" s="780"/>
      <c r="AB280" s="780"/>
      <c r="AC280" s="780"/>
    </row>
    <row r="281" spans="6:29" ht="14.25">
      <c r="F281" s="2"/>
      <c r="T281" s="776"/>
      <c r="U281" s="777"/>
      <c r="V281" s="776"/>
      <c r="W281" s="777"/>
      <c r="X281" s="778"/>
      <c r="Y281" s="779"/>
      <c r="Z281" s="780"/>
      <c r="AA281" s="780"/>
      <c r="AB281" s="780"/>
      <c r="AC281" s="780"/>
    </row>
    <row r="282" spans="6:29" ht="14.25">
      <c r="F282" s="2"/>
      <c r="T282" s="776"/>
      <c r="U282" s="780"/>
      <c r="V282" s="776"/>
      <c r="W282" s="777"/>
      <c r="X282" s="778"/>
      <c r="Y282" s="779"/>
      <c r="Z282" s="780"/>
      <c r="AA282" s="780"/>
      <c r="AB282" s="780"/>
      <c r="AC282" s="780"/>
    </row>
    <row r="283" spans="6:29" ht="14.25">
      <c r="F283" s="2"/>
      <c r="T283" s="776"/>
      <c r="U283" s="780"/>
      <c r="V283" s="776"/>
      <c r="W283" s="777"/>
      <c r="X283" s="778"/>
      <c r="Y283" s="779"/>
      <c r="Z283" s="780"/>
      <c r="AA283" s="780"/>
      <c r="AB283" s="780"/>
      <c r="AC283" s="780"/>
    </row>
    <row r="284" spans="6:29" ht="14.25">
      <c r="F284" s="2"/>
      <c r="T284" s="776"/>
      <c r="U284" s="780"/>
      <c r="V284" s="776"/>
      <c r="W284" s="777"/>
      <c r="X284" s="778"/>
      <c r="Y284" s="779"/>
      <c r="Z284" s="780"/>
      <c r="AA284" s="780"/>
      <c r="AB284" s="780"/>
      <c r="AC284" s="780"/>
    </row>
    <row r="285" spans="6:29" ht="14.25">
      <c r="F285" s="2"/>
      <c r="T285" s="776"/>
      <c r="U285" s="780"/>
      <c r="V285" s="776"/>
      <c r="W285" s="777"/>
      <c r="X285" s="778"/>
      <c r="Y285" s="779"/>
      <c r="Z285" s="780"/>
      <c r="AA285" s="780"/>
      <c r="AB285" s="780"/>
      <c r="AC285" s="780"/>
    </row>
    <row r="286" spans="6:29" ht="14.25">
      <c r="F286" s="2"/>
      <c r="T286" s="826"/>
      <c r="U286" s="827"/>
      <c r="V286" s="826"/>
      <c r="W286" s="828"/>
      <c r="X286" s="829"/>
      <c r="Y286" s="830"/>
      <c r="Z286" s="827"/>
      <c r="AA286" s="827"/>
      <c r="AB286" s="827"/>
      <c r="AC286" s="827"/>
    </row>
    <row r="287" spans="6:29" ht="14.25">
      <c r="F287" s="2"/>
      <c r="T287" s="826"/>
      <c r="U287" s="827"/>
      <c r="V287" s="826"/>
      <c r="W287" s="828"/>
      <c r="X287" s="829"/>
      <c r="Y287" s="830"/>
      <c r="Z287" s="827"/>
      <c r="AA287" s="827"/>
      <c r="AB287" s="827"/>
      <c r="AC287" s="827"/>
    </row>
    <row r="288" spans="6:29" ht="14.25">
      <c r="F288" s="2"/>
      <c r="T288" s="826"/>
      <c r="U288" s="827"/>
      <c r="V288" s="826"/>
      <c r="W288" s="828"/>
      <c r="X288" s="829"/>
      <c r="Y288" s="830"/>
      <c r="Z288" s="827"/>
      <c r="AA288" s="827"/>
      <c r="AB288" s="827"/>
      <c r="AC288" s="827"/>
    </row>
    <row r="289" spans="6:29" ht="14.25">
      <c r="F289" s="2"/>
      <c r="T289" s="826"/>
      <c r="U289" s="827"/>
      <c r="V289" s="826"/>
      <c r="W289" s="828"/>
      <c r="X289" s="829"/>
      <c r="Y289" s="830"/>
      <c r="Z289" s="827"/>
      <c r="AA289" s="827"/>
      <c r="AB289" s="827"/>
      <c r="AC289" s="827"/>
    </row>
    <row r="290" spans="6:29" ht="14.25">
      <c r="F290" s="2"/>
      <c r="T290" s="826"/>
      <c r="U290" s="827"/>
      <c r="V290" s="826"/>
      <c r="W290" s="828"/>
      <c r="X290" s="829"/>
      <c r="Y290" s="830"/>
      <c r="Z290" s="827"/>
      <c r="AA290" s="827"/>
      <c r="AB290" s="827"/>
      <c r="AC290" s="827"/>
    </row>
    <row r="291" spans="6:29" ht="14.25">
      <c r="F291" s="2"/>
      <c r="T291" s="826"/>
      <c r="U291" s="827"/>
      <c r="V291" s="826"/>
      <c r="W291" s="828"/>
      <c r="X291" s="829"/>
      <c r="Y291" s="830"/>
      <c r="Z291" s="827"/>
      <c r="AA291" s="827"/>
      <c r="AB291" s="827"/>
      <c r="AC291" s="827"/>
    </row>
    <row r="292" spans="6:29" ht="14.25">
      <c r="F292" s="2"/>
      <c r="T292" s="826"/>
      <c r="U292" s="827"/>
      <c r="V292" s="826"/>
      <c r="W292" s="828"/>
      <c r="X292" s="829"/>
      <c r="Y292" s="830"/>
      <c r="Z292" s="827"/>
      <c r="AA292" s="827"/>
      <c r="AB292" s="827"/>
      <c r="AC292" s="827"/>
    </row>
    <row r="293" spans="6:29" ht="14.25">
      <c r="F293" s="2"/>
      <c r="T293" s="826"/>
      <c r="U293" s="827"/>
      <c r="V293" s="826"/>
      <c r="W293" s="828"/>
      <c r="X293" s="829"/>
      <c r="Y293" s="830"/>
      <c r="Z293" s="827"/>
      <c r="AA293" s="827"/>
      <c r="AB293" s="827"/>
      <c r="AC293" s="827"/>
    </row>
    <row r="294" spans="6:29" ht="14.25">
      <c r="F294" s="2"/>
      <c r="T294" s="826"/>
      <c r="U294" s="827"/>
      <c r="V294" s="826"/>
      <c r="W294" s="828"/>
      <c r="X294" s="829"/>
      <c r="Y294" s="830"/>
      <c r="Z294" s="827"/>
      <c r="AA294" s="827"/>
      <c r="AB294" s="827"/>
      <c r="AC294" s="827"/>
    </row>
    <row r="295" spans="6:29" ht="14.25">
      <c r="F295" s="2"/>
      <c r="T295" s="826"/>
      <c r="U295" s="827"/>
      <c r="V295" s="826"/>
      <c r="W295" s="828"/>
      <c r="X295" s="829"/>
      <c r="Y295" s="830"/>
      <c r="Z295" s="827"/>
      <c r="AA295" s="827"/>
      <c r="AB295" s="827"/>
      <c r="AC295" s="827"/>
    </row>
    <row r="296" spans="6:29" ht="14.25">
      <c r="F296" s="2"/>
      <c r="T296" s="826"/>
      <c r="U296" s="827"/>
      <c r="V296" s="826"/>
      <c r="W296" s="828"/>
      <c r="X296" s="829"/>
      <c r="Y296" s="830"/>
      <c r="Z296" s="827"/>
      <c r="AA296" s="827"/>
      <c r="AB296" s="827"/>
      <c r="AC296" s="827"/>
    </row>
    <row r="297" spans="6:29" ht="14.25">
      <c r="F297" s="2"/>
      <c r="T297" s="826"/>
      <c r="U297" s="827"/>
      <c r="V297" s="826"/>
      <c r="W297" s="828"/>
      <c r="X297" s="829"/>
      <c r="Y297" s="830"/>
      <c r="Z297" s="827"/>
      <c r="AA297" s="827"/>
      <c r="AB297" s="827"/>
      <c r="AC297" s="827"/>
    </row>
    <row r="298" spans="6:29" ht="14.25">
      <c r="F298" s="2"/>
      <c r="T298" s="826"/>
      <c r="U298" s="827"/>
      <c r="V298" s="826"/>
      <c r="W298" s="828"/>
      <c r="X298" s="829"/>
      <c r="Y298" s="830"/>
      <c r="Z298" s="827"/>
      <c r="AA298" s="827"/>
      <c r="AB298" s="827"/>
      <c r="AC298" s="827"/>
    </row>
    <row r="299" spans="6:29" ht="14.25">
      <c r="F299" s="2"/>
      <c r="T299" s="826"/>
      <c r="U299" s="827"/>
      <c r="V299" s="826"/>
      <c r="W299" s="828"/>
      <c r="X299" s="829"/>
      <c r="Y299" s="830"/>
      <c r="Z299" s="827"/>
      <c r="AA299" s="827"/>
      <c r="AB299" s="827"/>
      <c r="AC299" s="827"/>
    </row>
    <row r="300" spans="6:29" ht="14.25">
      <c r="F300" s="2"/>
      <c r="T300" s="826"/>
      <c r="U300" s="827"/>
      <c r="V300" s="826"/>
      <c r="W300" s="828"/>
      <c r="X300" s="829"/>
      <c r="Y300" s="830"/>
      <c r="Z300" s="827"/>
      <c r="AA300" s="827"/>
      <c r="AB300" s="827"/>
      <c r="AC300" s="827"/>
    </row>
    <row r="301" spans="6:29" ht="14.25">
      <c r="F301" s="2"/>
      <c r="T301" s="826"/>
      <c r="U301" s="827"/>
      <c r="V301" s="826"/>
      <c r="W301" s="828"/>
      <c r="X301" s="829"/>
      <c r="Y301" s="830"/>
      <c r="Z301" s="827"/>
      <c r="AA301" s="827"/>
      <c r="AB301" s="827"/>
      <c r="AC301" s="827"/>
    </row>
    <row r="302" spans="6:29" ht="14.25">
      <c r="F302" s="2"/>
      <c r="T302" s="826"/>
      <c r="U302" s="827"/>
      <c r="V302" s="826"/>
      <c r="W302" s="828"/>
      <c r="X302" s="829"/>
      <c r="Y302" s="830"/>
      <c r="Z302" s="827"/>
      <c r="AA302" s="827"/>
      <c r="AB302" s="827"/>
      <c r="AC302" s="827"/>
    </row>
    <row r="303" spans="6:29" ht="14.25">
      <c r="F303" s="2"/>
      <c r="T303" s="826"/>
      <c r="U303" s="827"/>
      <c r="V303" s="826"/>
      <c r="W303" s="828"/>
      <c r="X303" s="829"/>
      <c r="Y303" s="830"/>
      <c r="Z303" s="827"/>
      <c r="AA303" s="827"/>
      <c r="AB303" s="827"/>
      <c r="AC303" s="827"/>
    </row>
    <row r="304" spans="6:29" ht="14.25">
      <c r="F304" s="2"/>
      <c r="T304" s="826"/>
      <c r="U304" s="827"/>
      <c r="V304" s="826"/>
      <c r="W304" s="828"/>
      <c r="X304" s="829"/>
      <c r="Y304" s="830"/>
      <c r="Z304" s="827"/>
      <c r="AA304" s="827"/>
      <c r="AB304" s="827"/>
      <c r="AC304" s="827"/>
    </row>
    <row r="305" spans="6:29" ht="14.25">
      <c r="F305" s="2"/>
      <c r="T305" s="826"/>
      <c r="U305" s="827"/>
      <c r="V305" s="826"/>
      <c r="W305" s="828"/>
      <c r="X305" s="829"/>
      <c r="Y305" s="830"/>
      <c r="Z305" s="827"/>
      <c r="AA305" s="827"/>
      <c r="AB305" s="827"/>
      <c r="AC305" s="827"/>
    </row>
    <row r="306" spans="6:29" ht="14.25">
      <c r="F306" s="2"/>
      <c r="T306" s="826"/>
      <c r="U306" s="827"/>
      <c r="V306" s="826"/>
      <c r="W306" s="828"/>
      <c r="X306" s="829"/>
      <c r="Y306" s="830"/>
      <c r="Z306" s="827"/>
      <c r="AA306" s="827"/>
      <c r="AB306" s="827"/>
      <c r="AC306" s="827"/>
    </row>
    <row r="307" spans="6:29" ht="14.25">
      <c r="F307" s="2"/>
      <c r="T307" s="826"/>
      <c r="U307" s="827"/>
      <c r="V307" s="826"/>
      <c r="W307" s="828"/>
      <c r="X307" s="829"/>
      <c r="Y307" s="830"/>
      <c r="Z307" s="827"/>
      <c r="AA307" s="827"/>
      <c r="AB307" s="827"/>
      <c r="AC307" s="827"/>
    </row>
    <row r="308" spans="6:29" ht="14.25">
      <c r="F308" s="2"/>
      <c r="T308" s="826"/>
      <c r="U308" s="827"/>
      <c r="V308" s="826"/>
      <c r="W308" s="828"/>
      <c r="X308" s="829"/>
      <c r="Y308" s="830"/>
      <c r="Z308" s="827"/>
      <c r="AA308" s="827"/>
      <c r="AB308" s="827"/>
      <c r="AC308" s="827"/>
    </row>
    <row r="309" spans="6:29" ht="14.25">
      <c r="F309" s="2"/>
      <c r="T309" s="826"/>
      <c r="U309" s="827"/>
      <c r="V309" s="826"/>
      <c r="W309" s="828"/>
      <c r="X309" s="829"/>
      <c r="Y309" s="830"/>
      <c r="Z309" s="827"/>
      <c r="AA309" s="827"/>
      <c r="AB309" s="827"/>
      <c r="AC309" s="827"/>
    </row>
    <row r="310" spans="6:29" ht="14.25">
      <c r="F310" s="2"/>
      <c r="T310" s="826"/>
      <c r="U310" s="827"/>
      <c r="V310" s="826"/>
      <c r="W310" s="828"/>
      <c r="X310" s="829"/>
      <c r="Y310" s="830"/>
      <c r="Z310" s="827"/>
      <c r="AA310" s="827"/>
      <c r="AB310" s="827"/>
      <c r="AC310" s="827"/>
    </row>
    <row r="311" spans="6:29" ht="14.25">
      <c r="F311" s="2"/>
      <c r="T311" s="826"/>
      <c r="U311" s="827"/>
      <c r="V311" s="826"/>
      <c r="W311" s="828"/>
      <c r="X311" s="829"/>
      <c r="Y311" s="830"/>
      <c r="Z311" s="827"/>
      <c r="AA311" s="827"/>
      <c r="AB311" s="827"/>
      <c r="AC311" s="827"/>
    </row>
    <row r="312" spans="6:29" ht="14.25">
      <c r="F312" s="2"/>
      <c r="T312" s="826"/>
      <c r="U312" s="827"/>
      <c r="V312" s="826"/>
      <c r="W312" s="828"/>
      <c r="X312" s="829"/>
      <c r="Y312" s="830"/>
      <c r="Z312" s="827"/>
      <c r="AA312" s="827"/>
      <c r="AB312" s="827"/>
      <c r="AC312" s="827"/>
    </row>
    <row r="313" spans="6:29" ht="14.25">
      <c r="F313" s="2"/>
      <c r="T313" s="826"/>
      <c r="U313" s="827"/>
      <c r="V313" s="826"/>
      <c r="W313" s="828"/>
      <c r="X313" s="829"/>
      <c r="Y313" s="830"/>
      <c r="Z313" s="827"/>
      <c r="AA313" s="827"/>
      <c r="AB313" s="827"/>
      <c r="AC313" s="827"/>
    </row>
    <row r="314" spans="6:29" ht="14.25">
      <c r="F314" s="2"/>
      <c r="T314" s="826"/>
      <c r="U314" s="827"/>
      <c r="V314" s="826"/>
      <c r="W314" s="828"/>
      <c r="X314" s="829"/>
      <c r="Y314" s="830"/>
      <c r="Z314" s="827"/>
      <c r="AA314" s="827"/>
      <c r="AB314" s="827"/>
      <c r="AC314" s="827"/>
    </row>
    <row r="315" spans="6:29" ht="14.25">
      <c r="F315" s="2"/>
      <c r="T315" s="826"/>
      <c r="U315" s="827"/>
      <c r="V315" s="826"/>
      <c r="W315" s="828"/>
      <c r="X315" s="829"/>
      <c r="Y315" s="830"/>
      <c r="Z315" s="827"/>
      <c r="AA315" s="827"/>
      <c r="AB315" s="827"/>
      <c r="AC315" s="827"/>
    </row>
    <row r="316" spans="6:29" ht="14.25">
      <c r="F316" s="2"/>
      <c r="T316" s="826"/>
      <c r="U316" s="827"/>
      <c r="V316" s="826"/>
      <c r="W316" s="828"/>
      <c r="X316" s="829"/>
      <c r="Y316" s="830"/>
      <c r="Z316" s="827"/>
      <c r="AA316" s="827"/>
      <c r="AB316" s="827"/>
      <c r="AC316" s="827"/>
    </row>
    <row r="317" spans="6:29" ht="14.25">
      <c r="F317" s="2"/>
      <c r="T317" s="826"/>
      <c r="U317" s="827"/>
      <c r="V317" s="826"/>
      <c r="W317" s="828"/>
      <c r="X317" s="829"/>
      <c r="Y317" s="830"/>
      <c r="Z317" s="827"/>
      <c r="AA317" s="827"/>
      <c r="AB317" s="827"/>
      <c r="AC317" s="827"/>
    </row>
    <row r="318" spans="6:29" ht="14.25">
      <c r="F318" s="2"/>
      <c r="T318" s="826"/>
      <c r="U318" s="827"/>
      <c r="V318" s="826"/>
      <c r="W318" s="828"/>
      <c r="X318" s="829"/>
      <c r="Y318" s="830"/>
      <c r="Z318" s="827"/>
      <c r="AA318" s="827"/>
      <c r="AB318" s="827"/>
      <c r="AC318" s="827"/>
    </row>
    <row r="319" spans="6:29" ht="14.25">
      <c r="F319" s="2"/>
      <c r="T319" s="826"/>
      <c r="U319" s="827"/>
      <c r="V319" s="826"/>
      <c r="W319" s="828"/>
      <c r="X319" s="829"/>
      <c r="Y319" s="830"/>
      <c r="Z319" s="827"/>
      <c r="AA319" s="827"/>
      <c r="AB319" s="827"/>
      <c r="AC319" s="827"/>
    </row>
    <row r="320" spans="6:29" ht="14.25">
      <c r="F320" s="2"/>
      <c r="T320" s="826"/>
      <c r="U320" s="827"/>
      <c r="V320" s="826"/>
      <c r="W320" s="828"/>
      <c r="X320" s="829"/>
      <c r="Y320" s="830"/>
      <c r="Z320" s="827"/>
      <c r="AA320" s="827"/>
      <c r="AB320" s="827"/>
      <c r="AC320" s="827"/>
    </row>
    <row r="321" spans="6:29" ht="14.25">
      <c r="F321" s="2"/>
      <c r="T321" s="826"/>
      <c r="U321" s="827"/>
      <c r="V321" s="826"/>
      <c r="W321" s="828"/>
      <c r="X321" s="829"/>
      <c r="Y321" s="830"/>
      <c r="Z321" s="827"/>
      <c r="AA321" s="827"/>
      <c r="AB321" s="827"/>
      <c r="AC321" s="827"/>
    </row>
    <row r="322" spans="6:29" ht="14.25">
      <c r="F322" s="2"/>
      <c r="T322" s="826"/>
      <c r="U322" s="827"/>
      <c r="V322" s="826"/>
      <c r="W322" s="828"/>
      <c r="X322" s="829"/>
      <c r="Y322" s="830"/>
      <c r="Z322" s="827"/>
      <c r="AA322" s="827"/>
      <c r="AB322" s="827"/>
      <c r="AC322" s="827"/>
    </row>
    <row r="323" spans="6:29" ht="14.25">
      <c r="F323" s="2"/>
      <c r="T323" s="826"/>
      <c r="U323" s="827"/>
      <c r="V323" s="826"/>
      <c r="W323" s="828"/>
      <c r="X323" s="829"/>
      <c r="Y323" s="830"/>
      <c r="Z323" s="827"/>
      <c r="AA323" s="827"/>
      <c r="AB323" s="827"/>
      <c r="AC323" s="827"/>
    </row>
    <row r="324" spans="6:29" ht="14.25">
      <c r="F324" s="2"/>
      <c r="T324" s="826"/>
      <c r="U324" s="827"/>
      <c r="V324" s="826"/>
      <c r="W324" s="828"/>
      <c r="X324" s="829"/>
      <c r="Y324" s="830"/>
      <c r="Z324" s="827"/>
      <c r="AA324" s="827"/>
      <c r="AB324" s="827"/>
      <c r="AC324" s="827"/>
    </row>
    <row r="325" spans="6:29" ht="14.25">
      <c r="F325" s="2"/>
      <c r="T325" s="826"/>
      <c r="U325" s="827"/>
      <c r="V325" s="826"/>
      <c r="W325" s="828"/>
      <c r="X325" s="829"/>
      <c r="Y325" s="830"/>
      <c r="Z325" s="827"/>
      <c r="AA325" s="827"/>
      <c r="AB325" s="827"/>
      <c r="AC325" s="827"/>
    </row>
    <row r="326" spans="6:29" ht="14.25">
      <c r="F326" s="2"/>
      <c r="T326" s="826"/>
      <c r="U326" s="827"/>
      <c r="V326" s="826"/>
      <c r="W326" s="828"/>
      <c r="X326" s="829"/>
      <c r="Y326" s="830"/>
      <c r="Z326" s="827"/>
      <c r="AA326" s="827"/>
      <c r="AB326" s="827"/>
      <c r="AC326" s="827"/>
    </row>
    <row r="327" spans="6:29" ht="14.25">
      <c r="F327" s="2"/>
      <c r="T327" s="826"/>
      <c r="U327" s="827"/>
      <c r="V327" s="826"/>
      <c r="W327" s="828"/>
      <c r="X327" s="829"/>
      <c r="Y327" s="830"/>
      <c r="Z327" s="827"/>
      <c r="AA327" s="827"/>
      <c r="AB327" s="827"/>
      <c r="AC327" s="827"/>
    </row>
    <row r="328" spans="6:29" ht="14.25">
      <c r="F328" s="2"/>
      <c r="T328" s="826"/>
      <c r="U328" s="827"/>
      <c r="V328" s="826"/>
      <c r="W328" s="828"/>
      <c r="X328" s="829"/>
      <c r="Y328" s="830"/>
      <c r="Z328" s="827"/>
      <c r="AA328" s="827"/>
      <c r="AB328" s="827"/>
      <c r="AC328" s="827"/>
    </row>
    <row r="329" spans="6:29" ht="14.25">
      <c r="F329" s="2"/>
      <c r="T329" s="826"/>
      <c r="U329" s="827"/>
      <c r="V329" s="826"/>
      <c r="W329" s="828"/>
      <c r="X329" s="829"/>
      <c r="Y329" s="830"/>
      <c r="Z329" s="827"/>
      <c r="AA329" s="827"/>
      <c r="AB329" s="827"/>
      <c r="AC329" s="827"/>
    </row>
    <row r="330" spans="6:29" ht="14.25">
      <c r="F330" s="2"/>
      <c r="T330" s="826"/>
      <c r="U330" s="827"/>
      <c r="V330" s="826"/>
      <c r="W330" s="828"/>
      <c r="X330" s="829"/>
      <c r="Y330" s="830"/>
      <c r="Z330" s="827"/>
      <c r="AA330" s="827"/>
      <c r="AB330" s="827"/>
      <c r="AC330" s="827"/>
    </row>
    <row r="331" spans="6:29" ht="14.25">
      <c r="F331" s="2"/>
      <c r="T331" s="826"/>
      <c r="U331" s="827"/>
      <c r="V331" s="826"/>
      <c r="W331" s="828"/>
      <c r="X331" s="829"/>
      <c r="Y331" s="830"/>
      <c r="Z331" s="827"/>
      <c r="AA331" s="827"/>
      <c r="AB331" s="827"/>
      <c r="AC331" s="827"/>
    </row>
    <row r="332" spans="20:29" ht="14.25">
      <c r="T332" s="826"/>
      <c r="U332" s="827"/>
      <c r="V332" s="826"/>
      <c r="W332" s="828"/>
      <c r="X332" s="829"/>
      <c r="Y332" s="830"/>
      <c r="Z332" s="827"/>
      <c r="AA332" s="827"/>
      <c r="AB332" s="827"/>
      <c r="AC332" s="827"/>
    </row>
    <row r="333" spans="20:29" ht="14.25">
      <c r="T333" s="826"/>
      <c r="U333" s="827"/>
      <c r="V333" s="826"/>
      <c r="W333" s="828"/>
      <c r="X333" s="829"/>
      <c r="Y333" s="830"/>
      <c r="Z333" s="827"/>
      <c r="AA333" s="827"/>
      <c r="AB333" s="827"/>
      <c r="AC333" s="827"/>
    </row>
    <row r="334" spans="20:29" ht="14.25">
      <c r="T334" s="826"/>
      <c r="U334" s="827"/>
      <c r="V334" s="826"/>
      <c r="W334" s="828"/>
      <c r="X334" s="829"/>
      <c r="Y334" s="830"/>
      <c r="Z334" s="827"/>
      <c r="AA334" s="827"/>
      <c r="AB334" s="827"/>
      <c r="AC334" s="827"/>
    </row>
  </sheetData>
  <mergeCells count="75">
    <mergeCell ref="BD200:BE200"/>
    <mergeCell ref="BG200:BH200"/>
    <mergeCell ref="BJ200:BK200"/>
    <mergeCell ref="AA17:AA18"/>
    <mergeCell ref="BB17:BD17"/>
    <mergeCell ref="AW17:AW19"/>
    <mergeCell ref="AX17:AX19"/>
    <mergeCell ref="AR17:AS17"/>
    <mergeCell ref="AT17:AT18"/>
    <mergeCell ref="AU17:AU18"/>
    <mergeCell ref="U146:W146"/>
    <mergeCell ref="D107:L107"/>
    <mergeCell ref="D139:L139"/>
    <mergeCell ref="M16:R16"/>
    <mergeCell ref="M17:M18"/>
    <mergeCell ref="N17:N18"/>
    <mergeCell ref="O17:O18"/>
    <mergeCell ref="P17:P18"/>
    <mergeCell ref="Q17:R17"/>
    <mergeCell ref="H17:H18"/>
    <mergeCell ref="D191:L191"/>
    <mergeCell ref="D19:L19"/>
    <mergeCell ref="D84:L84"/>
    <mergeCell ref="F29:F30"/>
    <mergeCell ref="F32:F33"/>
    <mergeCell ref="I17:I18"/>
    <mergeCell ref="J17:J18"/>
    <mergeCell ref="D172:L172"/>
    <mergeCell ref="D15:D18"/>
    <mergeCell ref="E15:E18"/>
    <mergeCell ref="F15:F18"/>
    <mergeCell ref="K17:L17"/>
    <mergeCell ref="G17:G18"/>
    <mergeCell ref="AA15:AC16"/>
    <mergeCell ref="AC17:AC18"/>
    <mergeCell ref="M15:R15"/>
    <mergeCell ref="S15:Z15"/>
    <mergeCell ref="X17:Z17"/>
    <mergeCell ref="AR1:AV1"/>
    <mergeCell ref="S17:S18"/>
    <mergeCell ref="AR2:AV2"/>
    <mergeCell ref="AR3:AV3"/>
    <mergeCell ref="AR5:AV5"/>
    <mergeCell ref="AR7:AV7"/>
    <mergeCell ref="T16:Z16"/>
    <mergeCell ref="T17:T18"/>
    <mergeCell ref="U17:U18"/>
    <mergeCell ref="AB17:AB18"/>
    <mergeCell ref="U160:W160"/>
    <mergeCell ref="U161:W161"/>
    <mergeCell ref="AG17:AH17"/>
    <mergeCell ref="V17:V18"/>
    <mergeCell ref="W17:W18"/>
    <mergeCell ref="AD17:AD18"/>
    <mergeCell ref="AE17:AE18"/>
    <mergeCell ref="AF17:AF18"/>
    <mergeCell ref="U150:W150"/>
    <mergeCell ref="U122:W122"/>
    <mergeCell ref="AV17:AV18"/>
    <mergeCell ref="AT15:AV15"/>
    <mergeCell ref="AN15:AS15"/>
    <mergeCell ref="AN17:AN18"/>
    <mergeCell ref="AO17:AO18"/>
    <mergeCell ref="AP17:AP18"/>
    <mergeCell ref="AQ17:AQ18"/>
    <mergeCell ref="D234:E234"/>
    <mergeCell ref="F234:AO234"/>
    <mergeCell ref="D11:AV11"/>
    <mergeCell ref="D12:AV12"/>
    <mergeCell ref="D13:AV13"/>
    <mergeCell ref="F154:F155"/>
    <mergeCell ref="E154:E155"/>
    <mergeCell ref="F20:F23"/>
    <mergeCell ref="F24:F25"/>
    <mergeCell ref="F27:F28"/>
  </mergeCells>
  <printOptions/>
  <pageMargins left="0.34" right="0.19" top="0.2362204724409449" bottom="0.2362204724409449" header="0.2362204724409449" footer="0.15748031496062992"/>
  <pageSetup horizontalDpi="600" verticalDpi="600" orientation="landscape" paperSize="9" scale="84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svetlana</cp:lastModifiedBy>
  <dcterms:created xsi:type="dcterms:W3CDTF">2008-02-22T16:15:34Z</dcterms:created>
  <dcterms:modified xsi:type="dcterms:W3CDTF">2008-02-22T16:17:43Z</dcterms:modified>
  <cp:category/>
  <cp:version/>
  <cp:contentType/>
  <cp:contentStatus/>
</cp:coreProperties>
</file>